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C:\OneDrive VanOers\PSA\Algemeen\Formulieren website\Huidige versie op website\"/>
    </mc:Choice>
  </mc:AlternateContent>
  <xr:revisionPtr revIDLastSave="0" documentId="13_ncr:1_{B40BF321-C935-4462-B16C-863C0B244CE6}" xr6:coauthVersionLast="47" xr6:coauthVersionMax="47" xr10:uidLastSave="{00000000-0000-0000-0000-000000000000}"/>
  <workbookProtection workbookAlgorithmName="SHA-512" workbookHashValue="RT6vHOoW3lRoWvB9YRJ3qtm9BOFWg39F+7+uZhDqtPB2847xji3s93q04aszSeSzdUljo82hKwJNadc+5IJuCw==" workbookSaltValue="RKyf1rXkTDd6LFxtzf/SKg==" workbookSpinCount="100000" lockStructure="1"/>
  <bookViews>
    <workbookView xWindow="-120" yWindow="-120" windowWidth="29040" windowHeight="15840" xr2:uid="{00000000-000D-0000-FFFF-FFFF00000000}"/>
  </bookViews>
  <sheets>
    <sheet name="DI" sheetId="2" r:id="rId1"/>
    <sheet name="DI-tabellen" sheetId="4" state="hidden" r:id="rId2"/>
  </sheets>
  <definedNames>
    <definedName name="_xlnm.Print_Area" localSheetId="0">DI!$B:$L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8" i="2" l="1"/>
  <c r="F80" i="2" s="1"/>
  <c r="I82" i="2"/>
  <c r="F82" i="2"/>
  <c r="I81" i="2"/>
  <c r="F81" i="2"/>
  <c r="I48" i="2"/>
  <c r="F22" i="2"/>
  <c r="D4" i="4" s="1"/>
  <c r="D26" i="4" s="1"/>
  <c r="E26" i="4" s="1"/>
  <c r="F23" i="2"/>
  <c r="F21" i="2"/>
  <c r="C42" i="4"/>
  <c r="C43" i="4" s="1"/>
  <c r="E13" i="4" s="1"/>
  <c r="F13" i="4" s="1"/>
  <c r="C5" i="4"/>
  <c r="F18" i="4" s="1"/>
  <c r="C8" i="4"/>
  <c r="F2" i="2" s="1"/>
  <c r="F28" i="2"/>
  <c r="L2" i="4"/>
  <c r="M2" i="4" s="1"/>
  <c r="N2" i="4" s="1"/>
  <c r="O2" i="4" s="1"/>
  <c r="P2" i="4" s="1"/>
  <c r="Q2" i="4" s="1"/>
  <c r="R2" i="4" s="1"/>
  <c r="S2" i="4" s="1"/>
  <c r="T2" i="4" s="1"/>
  <c r="U2" i="4" s="1"/>
  <c r="V2" i="4" s="1"/>
  <c r="W2" i="4" s="1"/>
  <c r="X2" i="4" s="1"/>
  <c r="Y2" i="4" s="1"/>
  <c r="Z2" i="4" s="1"/>
  <c r="AA2" i="4" s="1"/>
  <c r="AB2" i="4" s="1"/>
  <c r="AC2" i="4" s="1"/>
  <c r="AD2" i="4" s="1"/>
  <c r="AE2" i="4" s="1"/>
  <c r="AF2" i="4" s="1"/>
  <c r="AG2" i="4" s="1"/>
  <c r="AH2" i="4" s="1"/>
  <c r="AI2" i="4" s="1"/>
  <c r="AJ2" i="4" s="1"/>
  <c r="AK2" i="4" s="1"/>
  <c r="AL2" i="4" s="1"/>
  <c r="E12" i="4"/>
  <c r="F12" i="4" s="1"/>
  <c r="E11" i="4"/>
  <c r="F11" i="4" s="1"/>
  <c r="E34" i="4" s="1"/>
  <c r="E10" i="4"/>
  <c r="F10" i="4" s="1"/>
  <c r="D34" i="4" s="1"/>
  <c r="E9" i="4"/>
  <c r="F9" i="4" s="1"/>
  <c r="C34" i="4" s="1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B23" i="2"/>
  <c r="R68" i="2" l="1"/>
  <c r="J68" i="2" s="1"/>
  <c r="I68" i="2"/>
  <c r="O68" i="2"/>
  <c r="G68" i="2" s="1"/>
  <c r="F68" i="2"/>
  <c r="F34" i="4"/>
  <c r="E35" i="4"/>
  <c r="C44" i="4"/>
  <c r="I80" i="2"/>
  <c r="C36" i="4"/>
  <c r="D36" i="4"/>
  <c r="E36" i="4"/>
  <c r="F35" i="4"/>
  <c r="C35" i="4"/>
  <c r="J33" i="4"/>
  <c r="D22" i="4"/>
  <c r="E22" i="4" s="1"/>
  <c r="D24" i="4"/>
  <c r="E24" i="4" s="1"/>
  <c r="D35" i="4"/>
  <c r="D21" i="4"/>
  <c r="E21" i="4" s="1"/>
  <c r="D23" i="4"/>
  <c r="E23" i="4" s="1"/>
  <c r="D25" i="4"/>
  <c r="E25" i="4" s="1"/>
  <c r="D20" i="4"/>
  <c r="E20" i="4" s="1"/>
  <c r="J35" i="4" l="1"/>
  <c r="J36" i="4"/>
  <c r="J34" i="4"/>
  <c r="J37" i="4"/>
  <c r="C6" i="4" l="1"/>
  <c r="C7" i="4"/>
  <c r="I28" i="2" l="1"/>
  <c r="R28" i="2" s="1"/>
  <c r="D7" i="4"/>
  <c r="F41" i="2"/>
  <c r="F7" i="4"/>
  <c r="I41" i="2"/>
  <c r="H18" i="4"/>
  <c r="F6" i="4"/>
  <c r="D6" i="4"/>
  <c r="F24" i="4" l="1"/>
  <c r="F20" i="4"/>
  <c r="O31" i="2" s="1"/>
  <c r="F25" i="4"/>
  <c r="F19" i="4"/>
  <c r="F29" i="2" s="1"/>
  <c r="F22" i="4"/>
  <c r="F21" i="4"/>
  <c r="O32" i="2" s="1"/>
  <c r="F23" i="4"/>
  <c r="F35" i="2" s="1"/>
  <c r="F26" i="4"/>
  <c r="F36" i="2" s="1"/>
  <c r="H20" i="4"/>
  <c r="R31" i="2" s="1"/>
  <c r="H21" i="4"/>
  <c r="R32" i="2" s="1"/>
  <c r="H24" i="4"/>
  <c r="H25" i="4"/>
  <c r="H22" i="4"/>
  <c r="H26" i="4"/>
  <c r="H23" i="4"/>
  <c r="I35" i="2" s="1"/>
  <c r="G60" i="2"/>
  <c r="G59" i="2"/>
  <c r="I29" i="2"/>
  <c r="H19" i="4"/>
  <c r="J59" i="2"/>
  <c r="J60" i="2"/>
  <c r="G32" i="2" l="1"/>
  <c r="P32" i="2"/>
  <c r="F32" i="2" s="1"/>
  <c r="J32" i="2"/>
  <c r="S32" i="2"/>
  <c r="I32" i="2" s="1"/>
  <c r="R53" i="2"/>
  <c r="J47" i="2" s="1"/>
  <c r="O53" i="2"/>
  <c r="G47" i="2" s="1"/>
  <c r="O33" i="2"/>
  <c r="R34" i="2"/>
  <c r="I20" i="4"/>
  <c r="R57" i="2" s="1"/>
  <c r="R33" i="2"/>
  <c r="G20" i="4"/>
  <c r="O57" i="2" s="1"/>
  <c r="O34" i="2"/>
  <c r="J34" i="2" l="1"/>
  <c r="S34" i="2"/>
  <c r="I60" i="2" s="1"/>
  <c r="R61" i="2" s="1"/>
  <c r="G33" i="2"/>
  <c r="P33" i="2"/>
  <c r="F33" i="2" s="1"/>
  <c r="S33" i="2"/>
  <c r="I33" i="2" s="1"/>
  <c r="J33" i="2"/>
  <c r="P34" i="2"/>
  <c r="G34" i="2"/>
  <c r="F34" i="2" l="1"/>
  <c r="F60" i="2" s="1"/>
  <c r="O61" i="2" s="1"/>
  <c r="S61" i="2" s="1"/>
  <c r="K60" i="2" s="1"/>
  <c r="P31" i="2"/>
  <c r="R48" i="2"/>
  <c r="R47" i="2" s="1"/>
  <c r="R59" i="2" s="1"/>
  <c r="I51" i="2" s="1"/>
  <c r="R45" i="2"/>
  <c r="R52" i="2"/>
  <c r="J46" i="2" s="1"/>
  <c r="S31" i="2"/>
  <c r="O45" i="2" l="1"/>
  <c r="O48" i="2"/>
  <c r="O52" i="2"/>
  <c r="G46" i="2" s="1"/>
  <c r="F31" i="2"/>
  <c r="G31" i="2" s="1"/>
  <c r="F59" i="2"/>
  <c r="O60" i="2" s="1"/>
  <c r="J31" i="2"/>
  <c r="I38" i="2"/>
  <c r="R51" i="2"/>
  <c r="J45" i="2" s="1"/>
  <c r="I59" i="2"/>
  <c r="R60" i="2" s="1"/>
  <c r="R43" i="2"/>
  <c r="F38" i="2" l="1"/>
  <c r="O51" i="2"/>
  <c r="O43" i="2"/>
  <c r="O47" i="2"/>
  <c r="S60" i="2"/>
  <c r="K59" i="2" s="1"/>
  <c r="O59" i="2"/>
  <c r="F51" i="2" s="1"/>
  <c r="I39" i="2"/>
  <c r="I49" i="2"/>
  <c r="F49" i="2"/>
  <c r="F39" i="2"/>
  <c r="G45" i="2" l="1"/>
</calcChain>
</file>

<file path=xl/sharedStrings.xml><?xml version="1.0" encoding="utf-8"?>
<sst xmlns="http://schemas.openxmlformats.org/spreadsheetml/2006/main" count="193" uniqueCount="116">
  <si>
    <t>Medewerkernummer:</t>
  </si>
  <si>
    <t>Naam en voorletters:</t>
  </si>
  <si>
    <t>Werkgeversnummer:</t>
  </si>
  <si>
    <t>AANVRAGER</t>
  </si>
  <si>
    <t>(Primair Onderwijs)</t>
  </si>
  <si>
    <t>WERKGEVER / SCHOOL</t>
  </si>
  <si>
    <t>(Brin)nummer school:</t>
  </si>
  <si>
    <t>Naam school:</t>
  </si>
  <si>
    <t>Salarisschaal:</t>
  </si>
  <si>
    <t>Geboortedatum:</t>
  </si>
  <si>
    <t>Bapo-deelname op 30-9-2014:</t>
  </si>
  <si>
    <t>lft</t>
  </si>
  <si>
    <t>datum</t>
  </si>
  <si>
    <t>datum_1e</t>
  </si>
  <si>
    <t>geboortedatum</t>
  </si>
  <si>
    <t>geb.dat</t>
  </si>
  <si>
    <t>aow-leeftijd</t>
  </si>
  <si>
    <t>https://www.belastingdienst.nl/wps/wcm/connect/bldcontentnl/belastingdienst/prive/werk_en_inkomen/pensioen_en_andere_uitkeringen/wanneer_bereikt_u_de_aow_leeftijd/wanneer_bereikt_u_de_aow_leeftijd</t>
  </si>
  <si>
    <t>aow-datum</t>
  </si>
  <si>
    <t>vanaf</t>
  </si>
  <si>
    <t>jaren</t>
  </si>
  <si>
    <t>aow-lft</t>
  </si>
  <si>
    <t>AOW</t>
  </si>
  <si>
    <t>Groep</t>
  </si>
  <si>
    <t>ja</t>
  </si>
  <si>
    <t>8A4</t>
  </si>
  <si>
    <t>8A9,lid1a</t>
  </si>
  <si>
    <t>8A9,lid1b</t>
  </si>
  <si>
    <t>8A7</t>
  </si>
  <si>
    <t>8A9lid1c</t>
  </si>
  <si>
    <t>40</t>
  </si>
  <si>
    <t>170b</t>
  </si>
  <si>
    <t>170</t>
  </si>
  <si>
    <t>&lt;52 of geen bapo</t>
  </si>
  <si>
    <t>52 tm 55 en bapo</t>
  </si>
  <si>
    <t>56 en bapo</t>
  </si>
  <si>
    <t>&gt;=57 en bapo</t>
  </si>
  <si>
    <t>Op basis lft 30-9-2014:</t>
  </si>
  <si>
    <t>Kol Index</t>
  </si>
  <si>
    <t>130xxa</t>
  </si>
  <si>
    <t>130xxb</t>
  </si>
  <si>
    <t>130x</t>
  </si>
  <si>
    <t>130xx</t>
  </si>
  <si>
    <t>x</t>
  </si>
  <si>
    <t>xx</t>
  </si>
  <si>
    <t>40 uur slechts inzetbaar voor gratis verlof nadat alle 130 uren (50%) zijn opgenomen</t>
  </si>
  <si>
    <t>verdeling tussen 40 (gratis) en 130 (50%) is als 40:130</t>
  </si>
  <si>
    <t>Sparen</t>
  </si>
  <si>
    <t>kan ?</t>
  </si>
  <si>
    <t>Leeftijd 30-9-2014</t>
  </si>
  <si>
    <t>Verlof D.I. vanaf</t>
  </si>
  <si>
    <t>Werktijdfactor:</t>
  </si>
  <si>
    <t>BasisBudget</t>
  </si>
  <si>
    <t>Bijzonder Budget</t>
  </si>
  <si>
    <t>Overgangs Budget</t>
  </si>
  <si>
    <t>Aanvullend Overgangs Budget</t>
  </si>
  <si>
    <t>Wtf</t>
  </si>
  <si>
    <t>Totaal aantal uren</t>
  </si>
  <si>
    <t>Uren niet voor verlof ingezet</t>
  </si>
  <si>
    <t>start schooljaar</t>
  </si>
  <si>
    <t>groepnaam -&gt;</t>
  </si>
  <si>
    <t>groep -&gt;</t>
  </si>
  <si>
    <t>artikel -&gt;</t>
  </si>
  <si>
    <t>Tabel volgende datum</t>
  </si>
  <si>
    <t>Verlof vanaf</t>
  </si>
  <si>
    <t>Volgende datum</t>
  </si>
  <si>
    <t>Volgende</t>
  </si>
  <si>
    <t>- - &gt; Rij Index</t>
  </si>
  <si>
    <t>Mnd</t>
  </si>
  <si>
    <t>LftDatum Vanaf</t>
  </si>
  <si>
    <t>AOW datum</t>
  </si>
  <si>
    <t>Maximaal beschikbaar</t>
  </si>
  <si>
    <t>D.I. regeling basis/overgang/aanvullend/bijzonder</t>
  </si>
  <si>
    <t>- - - - &gt;</t>
  </si>
  <si>
    <t xml:space="preserve">relevante </t>
  </si>
  <si>
    <t>overgangs-</t>
  </si>
  <si>
    <t>groep</t>
  </si>
  <si>
    <t>Aantal maanden in schooljaar</t>
  </si>
  <si>
    <t>Rood</t>
  </si>
  <si>
    <t>rato   XX</t>
  </si>
  <si>
    <t>eerst   X</t>
  </si>
  <si>
    <t>Oranje</t>
  </si>
  <si>
    <t>Spaarbapo</t>
  </si>
  <si>
    <t>MAXIMALE VERLOF AANSPRAAK IN UREN PER JAAR (exclusief gespaard verlof)</t>
  </si>
  <si>
    <t>GEKOZEN VERDELING OP TE NEMEN VERLOFUREN IN UREN PER JAAR</t>
  </si>
  <si>
    <t>&gt;=45?</t>
  </si>
  <si>
    <t>OPNAME VAN EERDER GESPAARDE UREN IN UREN PER JAAR</t>
  </si>
  <si>
    <t>Gespaard BasisBudget</t>
  </si>
  <si>
    <t>Gespaard BijzonderBudget</t>
  </si>
  <si>
    <t>VolgendSchooljaar?</t>
  </si>
  <si>
    <t>ONDERTEKENING</t>
  </si>
  <si>
    <t>DATUM</t>
  </si>
  <si>
    <t>HANDTEKENING AANVRAGER</t>
  </si>
  <si>
    <t>NAAM + HANDTEKENING WERKGEVER</t>
  </si>
  <si>
    <t>Totaal aantal uren  (op jaarbasis)</t>
  </si>
  <si>
    <t>CAO ARTIKEL</t>
  </si>
  <si>
    <t>VANAF</t>
  </si>
  <si>
    <t>Verlof Duurzame Inzetbaarheid</t>
  </si>
  <si>
    <t>Totale opname op jaarbasis</t>
  </si>
  <si>
    <t>ja mits aanspraak op "8a7" of "8A7 via 8A9 lid1b"</t>
  </si>
  <si>
    <t>DIT JAAR BESCHIKBAAR VOOR VERLOFSPAREN DUURZAME INZETBAARHEID</t>
  </si>
  <si>
    <t>Afas: Wtf Duurzame Inzetbaarheid</t>
  </si>
  <si>
    <t>Afas: Fulltime uren BasisBudget</t>
  </si>
  <si>
    <t>TEN BEHOEVE VAN SALARISADMINISTRATIE</t>
  </si>
  <si>
    <t>Afas: Wtf SpaarBapo</t>
  </si>
  <si>
    <t>&gt;340? Excl Spaarbapo</t>
  </si>
  <si>
    <t>nog niet bekend 27-1-2020</t>
  </si>
  <si>
    <t>8A3</t>
  </si>
  <si>
    <t>8A6</t>
  </si>
  <si>
    <t>8A8lid1c</t>
  </si>
  <si>
    <t>Basisbudget</t>
  </si>
  <si>
    <t>Bijzonder budget</t>
  </si>
  <si>
    <t>Aanvullend overgangsbudget</t>
  </si>
  <si>
    <t>Overgangsbudget/Bijzonder budget</t>
  </si>
  <si>
    <t>LB</t>
  </si>
  <si>
    <t>Graag de koraalrode velden invullen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</si>
</sst>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yy"/>
    <numFmt numFmtId="165" formatCode="#\ \ \ \ ?/12"/>
    <numFmt numFmtId="166" formatCode="0.0000"/>
    <numFmt numFmtId="167" formatCode="0.0"/>
    <numFmt numFmtId="168" formatCode="&quot;Max   &quot;0.0"/>
    <numFmt numFmtId="169" formatCode="0.00000"/>
  </numFmts>
  <fonts count="30" x14ac:knownFonts="1">
    <font>
      <sz val="11"/>
      <color theme="1"/>
      <name val="Arial"/>
      <family val="2"/>
    </font>
    <font>
      <sz val="9"/>
      <color theme="1"/>
      <name val="Verdana"/>
      <family val="2"/>
    </font>
    <font>
      <b/>
      <sz val="11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b/>
      <sz val="14"/>
      <name val="Arial"/>
      <family val="2"/>
    </font>
    <font>
      <b/>
      <sz val="14"/>
      <color rgb="FF00B0F0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6"/>
      <color theme="1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  <font>
      <sz val="11"/>
      <color theme="1"/>
      <name val="Arial"/>
      <family val="2"/>
    </font>
    <font>
      <strike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87F69"/>
        <bgColor indexed="64"/>
      </patternFill>
    </fill>
    <fill>
      <patternFill patternType="solid">
        <fgColor rgb="FF01393D"/>
        <bgColor rgb="FF000000"/>
      </patternFill>
    </fill>
    <fill>
      <patternFill patternType="solid">
        <fgColor rgb="FF01393D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7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</cellStyleXfs>
  <cellXfs count="206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1" applyFont="1"/>
    <xf numFmtId="0" fontId="4" fillId="0" borderId="0" xfId="1" applyFont="1" applyAlignment="1">
      <alignment horizontal="left" vertical="top"/>
    </xf>
    <xf numFmtId="0" fontId="7" fillId="2" borderId="0" xfId="1" applyFont="1" applyFill="1" applyAlignment="1" applyProtection="1">
      <alignment horizontal="left" vertical="center"/>
      <protection hidden="1"/>
    </xf>
    <xf numFmtId="0" fontId="8" fillId="2" borderId="0" xfId="1" applyFont="1" applyFill="1" applyAlignment="1" applyProtection="1">
      <alignment horizontal="centerContinuous" vertical="center"/>
      <protection hidden="1"/>
    </xf>
    <xf numFmtId="0" fontId="2" fillId="2" borderId="0" xfId="1" applyFont="1" applyFill="1" applyAlignment="1">
      <alignment horizontal="centerContinuous" vertical="center"/>
    </xf>
    <xf numFmtId="0" fontId="4" fillId="2" borderId="0" xfId="1" applyFont="1" applyFill="1"/>
    <xf numFmtId="0" fontId="7" fillId="3" borderId="0" xfId="0" applyFont="1" applyFill="1" applyAlignment="1" applyProtection="1">
      <alignment vertical="center"/>
      <protection hidden="1"/>
    </xf>
    <xf numFmtId="0" fontId="3" fillId="2" borderId="0" xfId="1" applyFont="1" applyFill="1"/>
    <xf numFmtId="0" fontId="5" fillId="0" borderId="0" xfId="1" applyFont="1" applyProtection="1">
      <protection hidden="1"/>
    </xf>
    <xf numFmtId="164" fontId="13" fillId="0" borderId="0" xfId="1" applyNumberFormat="1" applyFont="1" applyAlignment="1">
      <alignment horizontal="left"/>
    </xf>
    <xf numFmtId="0" fontId="4" fillId="4" borderId="0" xfId="1" applyFont="1" applyFill="1"/>
    <xf numFmtId="0" fontId="4" fillId="4" borderId="0" xfId="1" applyFont="1" applyFill="1" applyAlignment="1">
      <alignment horizontal="center"/>
    </xf>
    <xf numFmtId="164" fontId="4" fillId="4" borderId="0" xfId="1" applyNumberFormat="1" applyFont="1" applyFill="1"/>
    <xf numFmtId="0" fontId="9" fillId="0" borderId="4" xfId="16" applyBorder="1"/>
    <xf numFmtId="0" fontId="14" fillId="0" borderId="5" xfId="16" applyFont="1" applyBorder="1" applyAlignment="1">
      <alignment horizontal="right"/>
    </xf>
    <xf numFmtId="0" fontId="9" fillId="0" borderId="0" xfId="16"/>
    <xf numFmtId="0" fontId="9" fillId="0" borderId="5" xfId="16" applyBorder="1"/>
    <xf numFmtId="0" fontId="9" fillId="0" borderId="6" xfId="16" applyBorder="1"/>
    <xf numFmtId="0" fontId="9" fillId="0" borderId="7" xfId="16" applyBorder="1"/>
    <xf numFmtId="0" fontId="14" fillId="0" borderId="0" xfId="16" applyFont="1" applyAlignment="1">
      <alignment horizontal="right"/>
    </xf>
    <xf numFmtId="14" fontId="14" fillId="0" borderId="8" xfId="16" applyNumberFormat="1" applyFont="1" applyBorder="1"/>
    <xf numFmtId="0" fontId="9" fillId="0" borderId="9" xfId="16" applyBorder="1"/>
    <xf numFmtId="0" fontId="9" fillId="0" borderId="1" xfId="16" applyBorder="1"/>
    <xf numFmtId="0" fontId="9" fillId="0" borderId="10" xfId="16" applyBorder="1"/>
    <xf numFmtId="0" fontId="14" fillId="0" borderId="1" xfId="16" applyFont="1" applyBorder="1"/>
    <xf numFmtId="165" fontId="14" fillId="0" borderId="10" xfId="16" applyNumberFormat="1" applyFont="1" applyBorder="1"/>
    <xf numFmtId="14" fontId="9" fillId="0" borderId="7" xfId="16" applyNumberFormat="1" applyBorder="1"/>
    <xf numFmtId="14" fontId="9" fillId="0" borderId="9" xfId="16" applyNumberFormat="1" applyBorder="1"/>
    <xf numFmtId="14" fontId="15" fillId="0" borderId="6" xfId="16" applyNumberFormat="1" applyFont="1" applyBorder="1" applyProtection="1">
      <protection locked="0"/>
    </xf>
    <xf numFmtId="164" fontId="4" fillId="0" borderId="0" xfId="1" applyNumberFormat="1" applyFont="1"/>
    <xf numFmtId="0" fontId="4" fillId="0" borderId="0" xfId="1" applyFont="1" applyAlignment="1">
      <alignment horizontal="right"/>
    </xf>
    <xf numFmtId="164" fontId="13" fillId="4" borderId="0" xfId="1" applyNumberFormat="1" applyFont="1" applyFill="1" applyAlignment="1">
      <alignment horizontal="left"/>
    </xf>
    <xf numFmtId="0" fontId="4" fillId="4" borderId="0" xfId="1" applyFont="1" applyFill="1" applyAlignment="1">
      <alignment horizontal="right"/>
    </xf>
    <xf numFmtId="0" fontId="4" fillId="5" borderId="0" xfId="1" applyFont="1" applyFill="1" applyAlignment="1">
      <alignment horizontal="center"/>
    </xf>
    <xf numFmtId="49" fontId="4" fillId="5" borderId="0" xfId="1" applyNumberFormat="1" applyFont="1" applyFill="1" applyAlignment="1">
      <alignment horizontal="center"/>
    </xf>
    <xf numFmtId="49" fontId="4" fillId="4" borderId="0" xfId="1" applyNumberFormat="1" applyFont="1" applyFill="1" applyAlignment="1">
      <alignment horizontal="center"/>
    </xf>
    <xf numFmtId="14" fontId="0" fillId="0" borderId="0" xfId="0" applyNumberFormat="1"/>
    <xf numFmtId="0" fontId="4" fillId="4" borderId="11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164" fontId="4" fillId="4" borderId="11" xfId="1" applyNumberFormat="1" applyFont="1" applyFill="1" applyBorder="1"/>
    <xf numFmtId="164" fontId="4" fillId="4" borderId="12" xfId="1" applyNumberFormat="1" applyFont="1" applyFill="1" applyBorder="1"/>
    <xf numFmtId="0" fontId="4" fillId="4" borderId="3" xfId="1" applyFont="1" applyFill="1" applyBorder="1"/>
    <xf numFmtId="0" fontId="4" fillId="4" borderId="13" xfId="1" applyFont="1" applyFill="1" applyBorder="1"/>
    <xf numFmtId="0" fontId="4" fillId="4" borderId="2" xfId="1" applyFont="1" applyFill="1" applyBorder="1"/>
    <xf numFmtId="0" fontId="0" fillId="0" borderId="0" xfId="0" applyAlignment="1">
      <alignment horizontal="center"/>
    </xf>
    <xf numFmtId="0" fontId="13" fillId="5" borderId="0" xfId="1" applyFont="1" applyFill="1" applyAlignment="1">
      <alignment horizontal="left"/>
    </xf>
    <xf numFmtId="0" fontId="0" fillId="0" borderId="4" xfId="0" applyBorder="1"/>
    <xf numFmtId="0" fontId="0" fillId="0" borderId="9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10" xfId="0" applyBorder="1"/>
    <xf numFmtId="0" fontId="12" fillId="0" borderId="5" xfId="0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10" xfId="0" applyFont="1" applyBorder="1"/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167" fontId="4" fillId="0" borderId="0" xfId="1" applyNumberFormat="1" applyFont="1"/>
    <xf numFmtId="0" fontId="4" fillId="0" borderId="5" xfId="1" applyFont="1" applyBorder="1"/>
    <xf numFmtId="167" fontId="6" fillId="0" borderId="5" xfId="1" applyNumberFormat="1" applyFont="1" applyBorder="1"/>
    <xf numFmtId="167" fontId="16" fillId="0" borderId="0" xfId="1" applyNumberFormat="1" applyFont="1"/>
    <xf numFmtId="0" fontId="0" fillId="0" borderId="13" xfId="0" applyBorder="1"/>
    <xf numFmtId="0" fontId="0" fillId="0" borderId="2" xfId="0" applyBorder="1"/>
    <xf numFmtId="164" fontId="0" fillId="0" borderId="7" xfId="0" applyNumberFormat="1" applyBorder="1"/>
    <xf numFmtId="164" fontId="0" fillId="0" borderId="0" xfId="0" applyNumberFormat="1"/>
    <xf numFmtId="164" fontId="0" fillId="0" borderId="8" xfId="0" applyNumberFormat="1" applyBorder="1"/>
    <xf numFmtId="14" fontId="18" fillId="0" borderId="8" xfId="0" applyNumberFormat="1" applyFont="1" applyBorder="1"/>
    <xf numFmtId="14" fontId="18" fillId="0" borderId="9" xfId="0" applyNumberFormat="1" applyFont="1" applyBorder="1"/>
    <xf numFmtId="14" fontId="18" fillId="0" borderId="1" xfId="0" applyNumberFormat="1" applyFont="1" applyBorder="1"/>
    <xf numFmtId="14" fontId="18" fillId="0" borderId="10" xfId="0" applyNumberFormat="1" applyFont="1" applyBorder="1"/>
    <xf numFmtId="0" fontId="0" fillId="0" borderId="14" xfId="0" applyBorder="1"/>
    <xf numFmtId="0" fontId="0" fillId="0" borderId="15" xfId="0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3" xfId="0" applyNumberFormat="1" applyBorder="1"/>
    <xf numFmtId="164" fontId="0" fillId="0" borderId="15" xfId="0" applyNumberFormat="1" applyBorder="1"/>
    <xf numFmtId="0" fontId="0" fillId="0" borderId="15" xfId="0" applyBorder="1" applyAlignment="1">
      <alignment horizontal="center"/>
    </xf>
    <xf numFmtId="0" fontId="4" fillId="6" borderId="0" xfId="1" applyFont="1" applyFill="1" applyAlignment="1">
      <alignment horizontal="left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17" fillId="4" borderId="2" xfId="1" applyFont="1" applyFill="1" applyBorder="1" applyAlignment="1">
      <alignment horizontal="right"/>
    </xf>
    <xf numFmtId="0" fontId="0" fillId="6" borderId="4" xfId="0" applyFill="1" applyBorder="1"/>
    <xf numFmtId="0" fontId="0" fillId="6" borderId="9" xfId="0" applyFill="1" applyBorder="1"/>
    <xf numFmtId="0" fontId="4" fillId="6" borderId="0" xfId="1" quotePrefix="1" applyFont="1" applyFill="1" applyAlignment="1">
      <alignment horizontal="center"/>
    </xf>
    <xf numFmtId="14" fontId="18" fillId="0" borderId="0" xfId="0" applyNumberFormat="1" applyFont="1"/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9" fillId="0" borderId="5" xfId="16" applyBorder="1" applyAlignment="1">
      <alignment horizontal="center"/>
    </xf>
    <xf numFmtId="0" fontId="9" fillId="0" borderId="6" xfId="16" applyBorder="1" applyAlignment="1">
      <alignment horizontal="center"/>
    </xf>
    <xf numFmtId="0" fontId="9" fillId="0" borderId="0" xfId="16" applyAlignment="1">
      <alignment horizontal="center"/>
    </xf>
    <xf numFmtId="0" fontId="9" fillId="0" borderId="8" xfId="16" applyBorder="1" applyAlignment="1">
      <alignment horizontal="center"/>
    </xf>
    <xf numFmtId="0" fontId="4" fillId="6" borderId="0" xfId="1" applyFont="1" applyFill="1" applyAlignment="1">
      <alignment horizontal="left" indent="1"/>
    </xf>
    <xf numFmtId="164" fontId="4" fillId="0" borderId="0" xfId="1" applyNumberFormat="1" applyFont="1" applyAlignment="1">
      <alignment horizontal="left"/>
    </xf>
    <xf numFmtId="0" fontId="21" fillId="0" borderId="0" xfId="1" applyFont="1"/>
    <xf numFmtId="0" fontId="0" fillId="7" borderId="0" xfId="0" applyFill="1"/>
    <xf numFmtId="0" fontId="9" fillId="7" borderId="0" xfId="16" applyFill="1"/>
    <xf numFmtId="0" fontId="0" fillId="6" borderId="0" xfId="0" quotePrefix="1" applyFill="1"/>
    <xf numFmtId="0" fontId="0" fillId="6" borderId="0" xfId="0" applyFill="1"/>
    <xf numFmtId="0" fontId="17" fillId="6" borderId="14" xfId="1" applyFont="1" applyFill="1" applyBorder="1" applyAlignment="1">
      <alignment horizontal="left" indent="1"/>
    </xf>
    <xf numFmtId="0" fontId="22" fillId="2" borderId="0" xfId="1" applyFont="1" applyFill="1"/>
    <xf numFmtId="14" fontId="4" fillId="0" borderId="0" xfId="1" applyNumberFormat="1" applyFont="1"/>
    <xf numFmtId="0" fontId="2" fillId="4" borderId="0" xfId="1" applyFont="1" applyFill="1" applyAlignment="1">
      <alignment horizontal="centerContinuous" vertical="center"/>
    </xf>
    <xf numFmtId="0" fontId="4" fillId="4" borderId="0" xfId="1" applyFont="1" applyFill="1" applyAlignment="1">
      <alignment horizontal="left" vertical="top"/>
    </xf>
    <xf numFmtId="0" fontId="4" fillId="4" borderId="4" xfId="1" applyFont="1" applyFill="1" applyBorder="1"/>
    <xf numFmtId="0" fontId="4" fillId="4" borderId="6" xfId="1" applyFont="1" applyFill="1" applyBorder="1"/>
    <xf numFmtId="0" fontId="4" fillId="4" borderId="9" xfId="1" applyFont="1" applyFill="1" applyBorder="1"/>
    <xf numFmtId="0" fontId="4" fillId="4" borderId="10" xfId="1" applyFont="1" applyFill="1" applyBorder="1"/>
    <xf numFmtId="0" fontId="16" fillId="4" borderId="0" xfId="1" applyFont="1" applyFill="1"/>
    <xf numFmtId="0" fontId="6" fillId="4" borderId="0" xfId="1" applyFont="1" applyFill="1"/>
    <xf numFmtId="168" fontId="4" fillId="0" borderId="0" xfId="1" applyNumberFormat="1" applyFont="1" applyAlignment="1">
      <alignment horizontal="left"/>
    </xf>
    <xf numFmtId="0" fontId="4" fillId="4" borderId="7" xfId="1" applyFont="1" applyFill="1" applyBorder="1"/>
    <xf numFmtId="0" fontId="4" fillId="4" borderId="8" xfId="1" applyFont="1" applyFill="1" applyBorder="1"/>
    <xf numFmtId="0" fontId="4" fillId="4" borderId="5" xfId="1" applyFont="1" applyFill="1" applyBorder="1"/>
    <xf numFmtId="0" fontId="4" fillId="4" borderId="1" xfId="1" applyFont="1" applyFill="1" applyBorder="1"/>
    <xf numFmtId="0" fontId="6" fillId="4" borderId="7" xfId="1" applyFont="1" applyFill="1" applyBorder="1"/>
    <xf numFmtId="0" fontId="6" fillId="4" borderId="8" xfId="1" applyFont="1" applyFill="1" applyBorder="1"/>
    <xf numFmtId="0" fontId="6" fillId="4" borderId="4" xfId="1" applyFont="1" applyFill="1" applyBorder="1"/>
    <xf numFmtId="0" fontId="5" fillId="0" borderId="16" xfId="1" applyFont="1" applyBorder="1" applyProtection="1">
      <protection hidden="1"/>
    </xf>
    <xf numFmtId="0" fontId="3" fillId="0" borderId="16" xfId="1" applyFont="1" applyBorder="1"/>
    <xf numFmtId="0" fontId="4" fillId="0" borderId="16" xfId="1" applyFont="1" applyBorder="1"/>
    <xf numFmtId="0" fontId="6" fillId="0" borderId="16" xfId="1" applyFont="1" applyBorder="1"/>
    <xf numFmtId="167" fontId="16" fillId="0" borderId="16" xfId="1" applyNumberFormat="1" applyFont="1" applyBorder="1"/>
    <xf numFmtId="164" fontId="4" fillId="4" borderId="15" xfId="1" applyNumberFormat="1" applyFont="1" applyFill="1" applyBorder="1"/>
    <xf numFmtId="0" fontId="4" fillId="0" borderId="0" xfId="1" applyFont="1" applyAlignment="1">
      <alignment horizontal="left" indent="1"/>
    </xf>
    <xf numFmtId="0" fontId="4" fillId="0" borderId="0" xfId="1" applyFont="1" applyAlignment="1">
      <alignment horizontal="center"/>
    </xf>
    <xf numFmtId="167" fontId="4" fillId="0" borderId="0" xfId="1" applyNumberFormat="1" applyFont="1" applyAlignment="1">
      <alignment horizontal="left"/>
    </xf>
    <xf numFmtId="0" fontId="4" fillId="0" borderId="0" xfId="1" applyFont="1" applyProtection="1">
      <protection hidden="1"/>
    </xf>
    <xf numFmtId="0" fontId="24" fillId="0" borderId="0" xfId="1" applyFont="1" applyProtection="1">
      <protection hidden="1"/>
    </xf>
    <xf numFmtId="0" fontId="25" fillId="0" borderId="0" xfId="1" applyFont="1" applyProtection="1">
      <protection hidden="1"/>
    </xf>
    <xf numFmtId="0" fontId="24" fillId="0" borderId="16" xfId="1" applyFont="1" applyBorder="1" applyProtection="1">
      <protection hidden="1"/>
    </xf>
    <xf numFmtId="0" fontId="25" fillId="0" borderId="16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9" fillId="0" borderId="0" xfId="0" applyFont="1"/>
    <xf numFmtId="49" fontId="0" fillId="4" borderId="0" xfId="0" applyNumberFormat="1" applyFill="1"/>
    <xf numFmtId="49" fontId="0" fillId="0" borderId="0" xfId="0" applyNumberFormat="1"/>
    <xf numFmtId="49" fontId="9" fillId="0" borderId="0" xfId="0" applyNumberFormat="1" applyFont="1"/>
    <xf numFmtId="49" fontId="0" fillId="0" borderId="0" xfId="0" applyNumberFormat="1" applyAlignment="1">
      <alignment horizontal="left"/>
    </xf>
    <xf numFmtId="0" fontId="4" fillId="0" borderId="0" xfId="0" applyFont="1"/>
    <xf numFmtId="0" fontId="0" fillId="0" borderId="0" xfId="0" applyAlignment="1">
      <alignment horizontal="left" vertical="center"/>
    </xf>
    <xf numFmtId="0" fontId="0" fillId="0" borderId="0" xfId="0" applyProtection="1">
      <protection hidden="1"/>
    </xf>
    <xf numFmtId="49" fontId="9" fillId="0" borderId="5" xfId="0" applyNumberFormat="1" applyFont="1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Alignment="1">
      <alignment wrapText="1"/>
    </xf>
    <xf numFmtId="167" fontId="4" fillId="4" borderId="6" xfId="1" applyNumberFormat="1" applyFont="1" applyFill="1" applyBorder="1"/>
    <xf numFmtId="167" fontId="4" fillId="4" borderId="10" xfId="1" applyNumberFormat="1" applyFont="1" applyFill="1" applyBorder="1"/>
    <xf numFmtId="169" fontId="28" fillId="0" borderId="0" xfId="1" applyNumberFormat="1" applyFont="1"/>
    <xf numFmtId="2" fontId="28" fillId="0" borderId="0" xfId="1" applyNumberFormat="1" applyFont="1"/>
    <xf numFmtId="0" fontId="29" fillId="0" borderId="0" xfId="1" applyFont="1"/>
    <xf numFmtId="0" fontId="29" fillId="0" borderId="0" xfId="0" applyFont="1"/>
    <xf numFmtId="167" fontId="29" fillId="0" borderId="0" xfId="1" applyNumberFormat="1" applyFont="1"/>
    <xf numFmtId="0" fontId="7" fillId="2" borderId="0" xfId="1" applyFont="1" applyFill="1" applyAlignment="1" applyProtection="1">
      <alignment horizontal="left"/>
      <protection hidden="1"/>
    </xf>
    <xf numFmtId="49" fontId="3" fillId="8" borderId="1" xfId="1" applyNumberFormat="1" applyFont="1" applyFill="1" applyBorder="1" applyAlignment="1" applyProtection="1">
      <alignment horizontal="left"/>
      <protection locked="0"/>
    </xf>
    <xf numFmtId="49" fontId="3" fillId="8" borderId="2" xfId="1" applyNumberFormat="1" applyFont="1" applyFill="1" applyBorder="1" applyAlignment="1" applyProtection="1">
      <alignment horizontal="left"/>
      <protection locked="0"/>
    </xf>
    <xf numFmtId="164" fontId="3" fillId="8" borderId="1" xfId="1" applyNumberFormat="1" applyFont="1" applyFill="1" applyBorder="1" applyAlignment="1" applyProtection="1">
      <alignment horizontal="left"/>
      <protection locked="0"/>
    </xf>
    <xf numFmtId="166" fontId="3" fillId="8" borderId="1" xfId="1" applyNumberFormat="1" applyFont="1" applyFill="1" applyBorder="1" applyAlignment="1" applyProtection="1">
      <alignment horizontal="left"/>
      <protection locked="0"/>
    </xf>
    <xf numFmtId="164" fontId="3" fillId="8" borderId="0" xfId="1" applyNumberFormat="1" applyFont="1" applyFill="1" applyAlignment="1" applyProtection="1">
      <alignment horizontal="left"/>
      <protection locked="0"/>
    </xf>
    <xf numFmtId="167" fontId="3" fillId="8" borderId="0" xfId="1" applyNumberFormat="1" applyFont="1" applyFill="1" applyProtection="1">
      <protection locked="0"/>
    </xf>
    <xf numFmtId="167" fontId="3" fillId="8" borderId="1" xfId="1" applyNumberFormat="1" applyFont="1" applyFill="1" applyBorder="1" applyProtection="1">
      <protection locked="0"/>
    </xf>
    <xf numFmtId="0" fontId="26" fillId="10" borderId="0" xfId="1" applyFont="1" applyFill="1" applyAlignment="1" applyProtection="1">
      <alignment horizontal="left" vertical="center"/>
      <protection hidden="1"/>
    </xf>
    <xf numFmtId="164" fontId="23" fillId="10" borderId="0" xfId="1" applyNumberFormat="1" applyFont="1" applyFill="1" applyAlignment="1" applyProtection="1">
      <alignment horizontal="left" vertical="center"/>
      <protection hidden="1"/>
    </xf>
    <xf numFmtId="0" fontId="23" fillId="10" borderId="0" xfId="1" applyFont="1" applyFill="1" applyAlignment="1" applyProtection="1">
      <alignment horizontal="left" vertical="center"/>
      <protection hidden="1"/>
    </xf>
    <xf numFmtId="49" fontId="3" fillId="8" borderId="1" xfId="1" applyNumberFormat="1" applyFont="1" applyFill="1" applyBorder="1" applyAlignment="1" applyProtection="1">
      <alignment horizontal="left"/>
      <protection locked="0"/>
    </xf>
    <xf numFmtId="49" fontId="9" fillId="8" borderId="1" xfId="0" applyNumberFormat="1" applyFont="1" applyFill="1" applyBorder="1" applyProtection="1">
      <protection locked="0"/>
    </xf>
    <xf numFmtId="49" fontId="3" fillId="8" borderId="2" xfId="1" applyNumberFormat="1" applyFont="1" applyFill="1" applyBorder="1" applyAlignment="1" applyProtection="1">
      <alignment horizontal="left"/>
      <protection locked="0"/>
    </xf>
    <xf numFmtId="49" fontId="9" fillId="8" borderId="2" xfId="0" applyNumberFormat="1" applyFont="1" applyFill="1" applyBorder="1" applyProtection="1">
      <protection locked="0"/>
    </xf>
    <xf numFmtId="0" fontId="4" fillId="0" borderId="0" xfId="1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23" fillId="10" borderId="0" xfId="1" applyFont="1" applyFill="1" applyAlignment="1" applyProtection="1">
      <alignment horizontal="left" vertical="center" wrapText="1"/>
      <protection hidden="1"/>
    </xf>
    <xf numFmtId="0" fontId="4" fillId="10" borderId="0" xfId="0" applyFont="1" applyFill="1" applyAlignment="1">
      <alignment horizontal="left" vertical="center" wrapText="1"/>
    </xf>
    <xf numFmtId="0" fontId="4" fillId="0" borderId="0" xfId="1" applyFont="1" applyAlignment="1" applyProtection="1">
      <alignment horizontal="left"/>
      <protection locked="0" hidden="1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4" fontId="3" fillId="0" borderId="0" xfId="1" applyNumberFormat="1" applyFont="1" applyAlignment="1" applyProtection="1">
      <alignment horizontal="left"/>
      <protection hidden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 applyProtection="1">
      <alignment horizontal="left"/>
      <protection hidden="1"/>
    </xf>
    <xf numFmtId="0" fontId="27" fillId="9" borderId="0" xfId="0" applyFont="1" applyFill="1" applyAlignment="1" applyProtection="1">
      <alignment horizontal="left" vertical="center"/>
      <protection hidden="1"/>
    </xf>
    <xf numFmtId="0" fontId="0" fillId="10" borderId="0" xfId="0" applyFill="1" applyAlignment="1">
      <alignment horizontal="left" vertical="center"/>
    </xf>
    <xf numFmtId="0" fontId="26" fillId="10" borderId="0" xfId="1" applyFont="1" applyFill="1" applyAlignment="1" applyProtection="1">
      <alignment horizontal="left" vertical="center"/>
      <protection hidden="1"/>
    </xf>
    <xf numFmtId="0" fontId="0" fillId="10" borderId="0" xfId="0" applyFill="1"/>
    <xf numFmtId="0" fontId="23" fillId="8" borderId="0" xfId="1" applyFont="1" applyFill="1" applyAlignment="1" applyProtection="1">
      <alignment horizontal="left" vertical="center"/>
      <protection hidden="1"/>
    </xf>
    <xf numFmtId="0" fontId="26" fillId="8" borderId="0" xfId="1" applyFont="1" applyFill="1" applyAlignment="1" applyProtection="1">
      <alignment horizontal="left" vertical="center"/>
      <protection hidden="1"/>
    </xf>
    <xf numFmtId="164" fontId="23" fillId="8" borderId="0" xfId="1" applyNumberFormat="1" applyFont="1" applyFill="1" applyAlignment="1" applyProtection="1">
      <alignment horizontal="left" vertical="center"/>
      <protection hidden="1"/>
    </xf>
    <xf numFmtId="167" fontId="4" fillId="8" borderId="0" xfId="1" applyNumberFormat="1" applyFont="1" applyFill="1" applyProtection="1">
      <protection locked="0"/>
    </xf>
    <xf numFmtId="167" fontId="4" fillId="8" borderId="1" xfId="1" applyNumberFormat="1" applyFont="1" applyFill="1" applyBorder="1" applyProtection="1">
      <protection locked="0"/>
    </xf>
    <xf numFmtId="0" fontId="3" fillId="2" borderId="0" xfId="1" applyFont="1" applyFill="1" applyAlignment="1">
      <alignment horizontal="left" indent="2"/>
    </xf>
  </cellXfs>
  <cellStyles count="17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Standaard" xfId="0" builtinId="0"/>
    <cellStyle name="Standaard 2" xfId="1" xr:uid="{00000000-0005-0000-0000-00000F000000}"/>
    <cellStyle name="Standaard 3" xfId="16" xr:uid="{00000000-0005-0000-0000-000010000000}"/>
  </cellStyles>
  <dxfs count="9">
    <dxf>
      <fill>
        <patternFill>
          <bgColor rgb="FFFF0000"/>
        </patternFill>
      </fill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E87F69"/>
      <color rgb="FF01393D"/>
      <color rgb="FFA5D094"/>
      <color rgb="FF4DAF46"/>
      <color rgb="FFC5FFC5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266700</xdr:colOff>
      <xdr:row>0</xdr:row>
      <xdr:rowOff>285750</xdr:rowOff>
    </xdr:from>
    <xdr:to>
      <xdr:col>11</xdr:col>
      <xdr:colOff>123825</xdr:colOff>
      <xdr:row>2</xdr:row>
      <xdr:rowOff>49422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9638658-7F9F-40A0-8E45-569E2D112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85750"/>
          <a:ext cx="2400300" cy="439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2"/>
  <sheetViews>
    <sheetView showGridLines="0" tabSelected="1" zoomScaleNormal="100" workbookViewId="0">
      <selection activeCell="F7" sqref="F7:L7"/>
    </sheetView>
  </sheetViews>
  <sheetFormatPr defaultColWidth="8.625" defaultRowHeight="12" x14ac:dyDescent="0.2"/>
  <cols>
    <col min="1" max="1" width="1.125" style="2" customWidth="1"/>
    <col min="2" max="2" width="21.625" style="2" customWidth="1"/>
    <col min="3" max="3" width="2.625" style="2" customWidth="1"/>
    <col min="4" max="4" width="5.875" style="2" customWidth="1"/>
    <col min="5" max="5" width="2.125" style="2" customWidth="1"/>
    <col min="6" max="6" width="10.625" style="2" customWidth="1"/>
    <col min="7" max="7" width="13.875" style="2" customWidth="1"/>
    <col min="8" max="8" width="2.625" style="2" customWidth="1"/>
    <col min="9" max="9" width="10.625" style="2" customWidth="1"/>
    <col min="10" max="10" width="13.875" style="2" customWidth="1"/>
    <col min="11" max="11" width="8.875" style="2" customWidth="1"/>
    <col min="12" max="12" width="3.625" style="2" customWidth="1"/>
    <col min="13" max="13" width="2.125" style="2" customWidth="1"/>
    <col min="14" max="14" width="1.875" style="16" hidden="1" customWidth="1"/>
    <col min="15" max="19" width="8.875" style="16" hidden="1" customWidth="1"/>
    <col min="20" max="22" width="8.875" style="2" customWidth="1"/>
    <col min="23" max="23" width="7.625" style="2" customWidth="1"/>
    <col min="24" max="29" width="8.625" style="2"/>
    <col min="30" max="30" width="9.625" style="2" customWidth="1"/>
    <col min="31" max="16384" width="8.625" style="2"/>
  </cols>
  <sheetData>
    <row r="1" spans="1:23" ht="31.5" customHeight="1" x14ac:dyDescent="0.35">
      <c r="A1" s="1"/>
      <c r="B1" s="169" t="s">
        <v>97</v>
      </c>
      <c r="C1" s="9"/>
      <c r="D1" s="9"/>
      <c r="E1" s="9"/>
      <c r="F1" s="9"/>
      <c r="G1" s="10"/>
      <c r="H1" s="10"/>
      <c r="I1" s="10"/>
      <c r="J1" s="10"/>
      <c r="K1" s="10"/>
      <c r="L1" s="10"/>
      <c r="M1" s="10"/>
      <c r="O1" s="119"/>
      <c r="P1" s="119"/>
      <c r="Q1" s="119"/>
      <c r="R1" s="119"/>
      <c r="S1" s="119"/>
      <c r="T1" s="10"/>
      <c r="W1" s="10"/>
    </row>
    <row r="2" spans="1:23" ht="21.75" customHeight="1" x14ac:dyDescent="0.2">
      <c r="A2" s="1"/>
      <c r="B2" s="12" t="s">
        <v>4</v>
      </c>
      <c r="C2" s="12"/>
      <c r="D2" s="12"/>
      <c r="E2" s="12"/>
      <c r="F2" s="8" t="str">
        <f>IF(F20="","",YEAR('DI-tabellen'!C8)&amp;" / "&amp;YEAR('DI-tabellen'!C8)+1)</f>
        <v>2024 / 2025</v>
      </c>
      <c r="H2" s="10"/>
      <c r="I2" s="10"/>
      <c r="J2" s="10"/>
      <c r="K2" s="10"/>
      <c r="L2" s="10"/>
      <c r="M2" s="10"/>
      <c r="O2" s="119"/>
      <c r="P2" s="119"/>
      <c r="Q2" s="119"/>
      <c r="R2" s="119"/>
      <c r="S2" s="119"/>
      <c r="T2" s="10"/>
      <c r="W2" s="10"/>
    </row>
    <row r="3" spans="1:23" ht="9" customHeight="1" x14ac:dyDescent="0.2">
      <c r="A3" s="1"/>
      <c r="B3" s="13"/>
      <c r="C3" s="13"/>
      <c r="D3" s="13"/>
      <c r="E3" s="13"/>
      <c r="F3" s="11"/>
      <c r="G3" s="11"/>
      <c r="H3" s="11"/>
      <c r="I3" s="11"/>
      <c r="J3" s="11"/>
      <c r="K3" s="11"/>
      <c r="L3" s="11"/>
      <c r="M3" s="11"/>
      <c r="T3" s="11"/>
      <c r="W3" s="11"/>
    </row>
    <row r="4" spans="1:23" x14ac:dyDescent="0.2">
      <c r="A4" s="1" t="s">
        <v>115</v>
      </c>
      <c r="B4" s="205"/>
      <c r="C4" s="13"/>
      <c r="D4" s="13"/>
      <c r="E4" s="13"/>
      <c r="F4" s="11"/>
      <c r="G4" s="11"/>
      <c r="H4" s="11"/>
      <c r="I4" s="11"/>
      <c r="J4" s="11"/>
      <c r="K4" s="11"/>
      <c r="L4" s="11"/>
      <c r="T4" s="11"/>
      <c r="W4" s="11"/>
    </row>
    <row r="5" spans="1:23" ht="3.75" customHeight="1" x14ac:dyDescent="0.2">
      <c r="A5" s="1"/>
      <c r="B5" s="117"/>
      <c r="C5" s="13"/>
      <c r="D5" s="13"/>
      <c r="E5" s="13"/>
      <c r="F5" s="11"/>
      <c r="G5" s="11"/>
      <c r="H5" s="11"/>
      <c r="I5" s="11"/>
      <c r="J5" s="11"/>
      <c r="K5" s="11"/>
      <c r="L5" s="11"/>
      <c r="T5" s="11"/>
      <c r="W5" s="11"/>
    </row>
    <row r="6" spans="1:23" ht="14.1" customHeight="1" x14ac:dyDescent="0.2">
      <c r="A6" s="1"/>
      <c r="B6" s="14" t="s">
        <v>5</v>
      </c>
      <c r="C6" s="1"/>
      <c r="D6" s="1"/>
      <c r="E6" s="1"/>
    </row>
    <row r="7" spans="1:23" ht="18" customHeight="1" x14ac:dyDescent="0.2">
      <c r="A7" s="1"/>
      <c r="B7" s="1" t="s">
        <v>2</v>
      </c>
      <c r="C7" s="1"/>
      <c r="D7" s="1"/>
      <c r="F7" s="180"/>
      <c r="G7" s="181"/>
      <c r="H7" s="181"/>
      <c r="I7" s="181"/>
      <c r="J7" s="181"/>
      <c r="K7" s="181"/>
      <c r="L7" s="181"/>
      <c r="M7" s="150"/>
      <c r="O7" s="151"/>
      <c r="P7" s="151"/>
      <c r="Q7" s="151"/>
      <c r="R7" s="151"/>
      <c r="S7" s="151"/>
      <c r="T7" s="152"/>
    </row>
    <row r="8" spans="1:23" ht="18" customHeight="1" x14ac:dyDescent="0.2">
      <c r="A8" s="1"/>
      <c r="B8" s="4" t="s">
        <v>6</v>
      </c>
      <c r="C8" s="1"/>
      <c r="D8" s="1"/>
      <c r="F8" s="182"/>
      <c r="G8" s="183"/>
      <c r="H8" s="183"/>
      <c r="I8" s="183"/>
      <c r="J8" s="183"/>
      <c r="K8" s="183"/>
      <c r="L8" s="183"/>
      <c r="M8" s="150"/>
      <c r="O8" s="151"/>
      <c r="P8" s="151"/>
      <c r="Q8" s="151"/>
      <c r="R8" s="151"/>
      <c r="S8" s="151"/>
      <c r="T8" s="152"/>
    </row>
    <row r="9" spans="1:23" ht="18" customHeight="1" x14ac:dyDescent="0.2">
      <c r="A9" s="1"/>
      <c r="B9" s="1" t="s">
        <v>7</v>
      </c>
      <c r="C9" s="1"/>
      <c r="D9" s="1"/>
      <c r="F9" s="182"/>
      <c r="G9" s="183"/>
      <c r="H9" s="183"/>
      <c r="I9" s="183"/>
      <c r="J9" s="183"/>
      <c r="K9" s="183"/>
      <c r="L9" s="183"/>
      <c r="M9" s="150"/>
      <c r="O9" s="151"/>
      <c r="P9" s="151"/>
      <c r="Q9" s="151"/>
      <c r="R9" s="151"/>
      <c r="S9" s="151"/>
      <c r="T9" s="152"/>
    </row>
    <row r="10" spans="1:23" ht="12" customHeight="1" thickBot="1" x14ac:dyDescent="0.25">
      <c r="A10" s="1"/>
      <c r="B10" s="1"/>
      <c r="C10" s="1"/>
      <c r="D10" s="1"/>
      <c r="F10" s="1"/>
    </row>
    <row r="11" spans="1:23" ht="14.1" customHeight="1" x14ac:dyDescent="0.2">
      <c r="A11" s="1"/>
      <c r="B11" s="135" t="s">
        <v>3</v>
      </c>
      <c r="C11" s="136"/>
      <c r="D11" s="136"/>
      <c r="E11" s="136"/>
      <c r="F11" s="137"/>
      <c r="G11" s="137"/>
      <c r="H11" s="137"/>
      <c r="I11" s="137"/>
      <c r="J11" s="137"/>
      <c r="K11" s="137"/>
      <c r="L11" s="137"/>
    </row>
    <row r="12" spans="1:23" ht="17.25" customHeight="1" x14ac:dyDescent="0.2">
      <c r="A12" s="1"/>
      <c r="B12" s="1" t="s">
        <v>1</v>
      </c>
      <c r="F12" s="180"/>
      <c r="G12" s="181"/>
      <c r="H12" s="181"/>
      <c r="I12" s="181"/>
      <c r="J12" s="181"/>
      <c r="K12" s="181"/>
      <c r="L12" s="181"/>
      <c r="M12" s="150"/>
      <c r="O12" s="151"/>
      <c r="P12" s="151"/>
      <c r="Q12" s="151"/>
      <c r="R12" s="151"/>
      <c r="S12" s="151"/>
      <c r="T12" s="152"/>
    </row>
    <row r="13" spans="1:23" ht="17.25" customHeight="1" x14ac:dyDescent="0.2">
      <c r="A13" s="1"/>
      <c r="B13" s="1" t="s">
        <v>0</v>
      </c>
      <c r="C13" s="5"/>
      <c r="D13" s="5"/>
      <c r="E13" s="5"/>
      <c r="F13" s="171"/>
      <c r="G13" s="158"/>
      <c r="H13" s="158"/>
      <c r="I13" s="158"/>
      <c r="J13" s="158"/>
      <c r="K13" s="158"/>
      <c r="L13" s="158"/>
      <c r="M13" s="153"/>
      <c r="O13" s="151"/>
      <c r="P13" s="151"/>
      <c r="Q13" s="151"/>
      <c r="R13" s="151"/>
      <c r="S13" s="151"/>
      <c r="T13" s="152"/>
    </row>
    <row r="14" spans="1:23" ht="17.25" customHeight="1" x14ac:dyDescent="0.2">
      <c r="A14" s="1"/>
      <c r="B14" s="1" t="s">
        <v>9</v>
      </c>
      <c r="C14" s="5"/>
      <c r="D14" s="5"/>
      <c r="E14" s="5"/>
      <c r="F14" s="172"/>
      <c r="G14" s="154"/>
      <c r="H14" s="154"/>
      <c r="I14" s="154"/>
      <c r="J14" s="154"/>
      <c r="K14" s="152"/>
      <c r="L14" s="152"/>
      <c r="M14" s="152"/>
      <c r="O14" s="151"/>
      <c r="P14" s="151"/>
      <c r="Q14" s="151"/>
      <c r="R14" s="151"/>
      <c r="S14" s="151"/>
      <c r="T14" s="152"/>
    </row>
    <row r="15" spans="1:23" ht="17.25" customHeight="1" x14ac:dyDescent="0.2">
      <c r="A15" s="1"/>
      <c r="B15" s="1" t="s">
        <v>10</v>
      </c>
      <c r="C15" s="5"/>
      <c r="D15" s="5"/>
      <c r="E15" s="5"/>
      <c r="F15" s="170" t="s">
        <v>24</v>
      </c>
      <c r="G15" s="154"/>
      <c r="H15" s="154"/>
      <c r="I15" s="154"/>
      <c r="J15" s="154"/>
      <c r="K15" s="152"/>
      <c r="L15" s="152"/>
      <c r="M15" s="152"/>
      <c r="O15" s="151"/>
      <c r="P15" s="151"/>
      <c r="Q15" s="151"/>
      <c r="R15" s="151"/>
      <c r="S15" s="151"/>
      <c r="T15" s="152"/>
    </row>
    <row r="16" spans="1:23" ht="17.25" customHeight="1" x14ac:dyDescent="0.2">
      <c r="A16" s="1"/>
      <c r="B16" s="1" t="s">
        <v>51</v>
      </c>
      <c r="C16" s="5"/>
      <c r="D16" s="5"/>
      <c r="E16" s="5"/>
      <c r="F16" s="173">
        <v>1</v>
      </c>
      <c r="G16" s="154"/>
      <c r="H16" s="154"/>
      <c r="I16" s="154"/>
      <c r="J16" s="154"/>
      <c r="K16" s="152"/>
      <c r="L16" s="152"/>
      <c r="M16" s="152"/>
      <c r="O16" s="151"/>
      <c r="P16" s="151"/>
      <c r="Q16" s="151"/>
      <c r="R16" s="151"/>
      <c r="S16" s="151"/>
      <c r="T16" s="152"/>
    </row>
    <row r="17" spans="1:23" ht="17.25" customHeight="1" x14ac:dyDescent="0.2">
      <c r="A17" s="1"/>
      <c r="B17" s="1" t="s">
        <v>8</v>
      </c>
      <c r="C17" s="5"/>
      <c r="D17" s="5"/>
      <c r="E17" s="5"/>
      <c r="F17" s="170" t="s">
        <v>114</v>
      </c>
      <c r="G17" s="154"/>
      <c r="H17" s="154"/>
      <c r="I17" s="154"/>
      <c r="J17" s="154"/>
      <c r="K17" s="152"/>
      <c r="L17" s="152"/>
      <c r="M17" s="152"/>
      <c r="O17" s="151"/>
      <c r="P17" s="151"/>
      <c r="Q17" s="151"/>
      <c r="R17" s="151"/>
      <c r="S17" s="151"/>
      <c r="T17" s="152"/>
    </row>
    <row r="18" spans="1:23" ht="14.1" customHeight="1" x14ac:dyDescent="0.2">
      <c r="A18" s="1"/>
      <c r="B18" s="4"/>
      <c r="C18" s="4"/>
      <c r="D18" s="4"/>
      <c r="E18" s="4"/>
      <c r="F18" s="1"/>
    </row>
    <row r="19" spans="1:23" x14ac:dyDescent="0.2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O19" s="120"/>
      <c r="P19" s="120"/>
      <c r="Q19" s="120"/>
      <c r="R19" s="120"/>
      <c r="S19" s="120"/>
      <c r="T19" s="7"/>
      <c r="W19" s="7"/>
    </row>
    <row r="20" spans="1:23" x14ac:dyDescent="0.2">
      <c r="B20" s="2" t="s">
        <v>50</v>
      </c>
      <c r="F20" s="174">
        <v>45505</v>
      </c>
      <c r="G20" s="36"/>
      <c r="H20" s="36"/>
      <c r="I20" s="35"/>
      <c r="J20" s="36"/>
      <c r="K20" s="3"/>
    </row>
    <row r="21" spans="1:23" x14ac:dyDescent="0.2">
      <c r="F21" s="15" t="str">
        <f>IF(DAY(F20)=1,"","Kies datum die op 1e vd maand start" )</f>
        <v/>
      </c>
      <c r="J21" s="36"/>
      <c r="K21" s="35"/>
      <c r="L21" s="36"/>
      <c r="M21" s="36"/>
      <c r="O21" s="38"/>
      <c r="P21" s="38"/>
      <c r="Q21" s="38"/>
    </row>
    <row r="22" spans="1:23" x14ac:dyDescent="0.2">
      <c r="B22" s="2" t="s">
        <v>49</v>
      </c>
      <c r="F22" s="3">
        <f>IF(F14="",21,DATEDIF($F$14,DATE(2014,9,30),"Y"))</f>
        <v>21</v>
      </c>
    </row>
    <row r="23" spans="1:23" x14ac:dyDescent="0.2">
      <c r="B23" s="2" t="str">
        <f>"Leeftijd "&amp;TEXT(F20,"dd-mm-jjjj")</f>
        <v>Leeftijd 01-08-2024</v>
      </c>
      <c r="F23" s="3">
        <f>IF(F14="",21,DATEDIF($F$14,$F$20,"Y"))</f>
        <v>21</v>
      </c>
    </row>
    <row r="24" spans="1:23" ht="12.75" thickBot="1" x14ac:dyDescent="0.25"/>
    <row r="25" spans="1:23" x14ac:dyDescent="0.2">
      <c r="B25" s="138" t="s">
        <v>83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</row>
    <row r="26" spans="1:23" ht="4.5" customHeight="1" x14ac:dyDescent="0.2">
      <c r="B26" s="6"/>
    </row>
    <row r="27" spans="1:23" x14ac:dyDescent="0.2">
      <c r="C27" s="187" t="s">
        <v>95</v>
      </c>
      <c r="D27" s="188"/>
      <c r="F27" s="179" t="s">
        <v>96</v>
      </c>
      <c r="G27" s="177"/>
      <c r="I27" s="200" t="s">
        <v>96</v>
      </c>
      <c r="J27" s="201"/>
      <c r="R27" s="121" t="s">
        <v>89</v>
      </c>
      <c r="S27" s="122"/>
    </row>
    <row r="28" spans="1:23" x14ac:dyDescent="0.2">
      <c r="C28" s="188"/>
      <c r="D28" s="188"/>
      <c r="F28" s="178">
        <f>F20</f>
        <v>45505</v>
      </c>
      <c r="G28" s="177"/>
      <c r="I28" s="202">
        <f>'DI-tabellen'!C7</f>
        <v>401768</v>
      </c>
      <c r="J28" s="201"/>
      <c r="R28" s="123" t="b">
        <f>I28&gt;=DATE(YEAR('DI-tabellen'!C8)+1,8,1)</f>
        <v>1</v>
      </c>
      <c r="S28" s="124"/>
    </row>
    <row r="29" spans="1:23" x14ac:dyDescent="0.2">
      <c r="C29" s="188"/>
      <c r="D29" s="188"/>
      <c r="F29" s="179" t="str">
        <f>'DI-tabellen'!F19</f>
        <v>AOW+</v>
      </c>
      <c r="G29" s="177"/>
      <c r="I29" s="200" t="str">
        <f>'DI-tabellen'!D7</f>
        <v>AOW bereikt</v>
      </c>
      <c r="J29" s="201"/>
      <c r="O29" s="121"/>
      <c r="P29" s="130" t="s">
        <v>85</v>
      </c>
      <c r="Q29" s="130"/>
      <c r="R29" s="130"/>
      <c r="S29" s="122" t="s">
        <v>85</v>
      </c>
    </row>
    <row r="30" spans="1:23" ht="2.25" customHeight="1" x14ac:dyDescent="0.2">
      <c r="F30" s="110"/>
      <c r="I30" s="110"/>
      <c r="O30" s="128"/>
      <c r="S30" s="129"/>
    </row>
    <row r="31" spans="1:23" x14ac:dyDescent="0.2">
      <c r="B31" s="2" t="s">
        <v>110</v>
      </c>
      <c r="C31" s="155" t="s">
        <v>107</v>
      </c>
      <c r="D31" s="155"/>
      <c r="F31" s="70">
        <f>IF(P31,O31,0)</f>
        <v>0</v>
      </c>
      <c r="G31" s="2" t="str">
        <f>IF(F31=0,"",IF('DI-tabellen'!G20="x","Eerst "&amp;ROUND(DI!F16*'DI-tabellen'!F24,2),IF('DI-tabellen'!G20="xx","Naar rato "&amp;ROUND(DI!F16*SUM('DI-tabellen'!F21,'DI-tabellen'!F22,'DI-tabellen'!F25),2),"")))</f>
        <v/>
      </c>
      <c r="I31" s="70">
        <v>0</v>
      </c>
      <c r="J31" s="2" t="str">
        <f>IF(I31=0,"",IF('DI-tabellen'!I20="x","Eerst "&amp;ROUND(DI!F16*'DI-tabellen'!H24,2),IF('DI-tabellen'!I20="xx","Naar rato "&amp;ROUND(DI!F16*SUM('DI-tabellen'!H21,'DI-tabellen'!H22,'DI-tabellen'!H25),2),"")))</f>
        <v/>
      </c>
      <c r="O31" s="128">
        <f>ROUND('DI-tabellen'!F20*$F$16,1)</f>
        <v>0</v>
      </c>
      <c r="P31" s="16" t="b">
        <f>P32+P33+P34&gt;0</f>
        <v>0</v>
      </c>
      <c r="R31" s="16">
        <f>ROUND('DI-tabellen'!H20*$F$16,1)</f>
        <v>0</v>
      </c>
      <c r="S31" s="129" t="b">
        <f>S32+S33+S34&gt;0</f>
        <v>0</v>
      </c>
    </row>
    <row r="32" spans="1:23" hidden="1" x14ac:dyDescent="0.2">
      <c r="B32" s="166" t="s">
        <v>54</v>
      </c>
      <c r="C32" s="167" t="s">
        <v>26</v>
      </c>
      <c r="D32" s="167"/>
      <c r="E32" s="166"/>
      <c r="F32" s="168">
        <f>IF(P32,O32,0)</f>
        <v>0</v>
      </c>
      <c r="G32" s="141" t="str">
        <f>IF(AND(O32&gt;0,O32&lt;45),O32&amp;"  &lt; 45","")</f>
        <v/>
      </c>
      <c r="I32" s="70">
        <f>IF(S32,R32,0)</f>
        <v>0</v>
      </c>
      <c r="J32" s="141" t="str">
        <f>IF(AND(R32&gt;0,R32&lt;45),R32&amp;"  &lt; 45","")</f>
        <v/>
      </c>
      <c r="O32" s="128">
        <f>ROUND('DI-tabellen'!F21*$F$16,1)</f>
        <v>0</v>
      </c>
      <c r="P32" s="16" t="b">
        <f>O32&gt;=45</f>
        <v>0</v>
      </c>
      <c r="R32" s="16">
        <f>ROUND('DI-tabellen'!H21*$F$16,1)</f>
        <v>0</v>
      </c>
      <c r="S32" s="129" t="b">
        <f>R32&gt;=45</f>
        <v>0</v>
      </c>
    </row>
    <row r="33" spans="2:19" hidden="1" x14ac:dyDescent="0.2">
      <c r="B33" s="166" t="s">
        <v>54</v>
      </c>
      <c r="C33" s="167" t="s">
        <v>27</v>
      </c>
      <c r="D33" s="167"/>
      <c r="E33" s="166"/>
      <c r="F33" s="168">
        <f t="shared" ref="F33:F34" si="0">IF(P33,O33,0)</f>
        <v>0</v>
      </c>
      <c r="G33" s="141" t="str">
        <f t="shared" ref="G33:G34" si="1">IF(AND(O33&gt;0,O33&lt;45),O33&amp;"  &lt; 45","")</f>
        <v/>
      </c>
      <c r="I33" s="70">
        <f t="shared" ref="I33" si="2">IF(S33,R33,0)</f>
        <v>0</v>
      </c>
      <c r="J33" s="141" t="str">
        <f t="shared" ref="J33:J34" si="3">IF(AND(R33&gt;0,R33&lt;45),R33&amp;"  &lt; 45","")</f>
        <v/>
      </c>
      <c r="O33" s="128">
        <f>ROUND('DI-tabellen'!F22*$F$16,1)</f>
        <v>0</v>
      </c>
      <c r="P33" s="16" t="b">
        <f t="shared" ref="P33:P34" si="4">O33&gt;=45</f>
        <v>0</v>
      </c>
      <c r="R33" s="16">
        <f>ROUND('DI-tabellen'!H22*$F$16,1)</f>
        <v>0</v>
      </c>
      <c r="S33" s="129" t="b">
        <f t="shared" ref="S33:S34" si="5">R33&gt;=45</f>
        <v>0</v>
      </c>
    </row>
    <row r="34" spans="2:19" x14ac:dyDescent="0.2">
      <c r="B34" s="2" t="s">
        <v>111</v>
      </c>
      <c r="C34" s="155" t="s">
        <v>108</v>
      </c>
      <c r="D34" s="155"/>
      <c r="F34" s="70">
        <f t="shared" si="0"/>
        <v>0</v>
      </c>
      <c r="G34" s="141" t="str">
        <f t="shared" si="1"/>
        <v/>
      </c>
      <c r="I34" s="70">
        <v>0</v>
      </c>
      <c r="J34" s="141" t="str">
        <f t="shared" si="3"/>
        <v/>
      </c>
      <c r="O34" s="123">
        <f>ROUND(SUM('DI-tabellen'!F24,'DI-tabellen'!F25)*$F$16,1)</f>
        <v>0</v>
      </c>
      <c r="P34" s="131" t="b">
        <f t="shared" si="4"/>
        <v>0</v>
      </c>
      <c r="Q34" s="131"/>
      <c r="R34" s="131">
        <f>ROUND(SUM('DI-tabellen'!H24,'DI-tabellen'!H25)*$F$16,1)</f>
        <v>0</v>
      </c>
      <c r="S34" s="124" t="b">
        <f t="shared" si="5"/>
        <v>0</v>
      </c>
    </row>
    <row r="35" spans="2:19" hidden="1" x14ac:dyDescent="0.2">
      <c r="B35" s="166" t="s">
        <v>55</v>
      </c>
      <c r="C35" s="167" t="s">
        <v>27</v>
      </c>
      <c r="D35" s="167"/>
      <c r="E35" s="166"/>
      <c r="F35" s="168">
        <f>ROUND('DI-tabellen'!F23*$F$16,1)</f>
        <v>0</v>
      </c>
      <c r="I35" s="70">
        <f>ROUND('DI-tabellen'!H23*$F$16,1)</f>
        <v>0</v>
      </c>
    </row>
    <row r="36" spans="2:19" x14ac:dyDescent="0.2">
      <c r="B36" s="2" t="s">
        <v>112</v>
      </c>
      <c r="C36" s="155" t="s">
        <v>109</v>
      </c>
      <c r="D36" s="155"/>
      <c r="F36" s="70">
        <f>ROUND('DI-tabellen'!F26*$F$16,1)</f>
        <v>0</v>
      </c>
      <c r="I36" s="70">
        <v>0</v>
      </c>
    </row>
    <row r="37" spans="2:19" ht="2.25" customHeight="1" x14ac:dyDescent="0.2">
      <c r="I37" s="2">
        <v>0</v>
      </c>
    </row>
    <row r="38" spans="2:19" x14ac:dyDescent="0.2">
      <c r="B38" s="71" t="s">
        <v>94</v>
      </c>
      <c r="F38" s="72">
        <f>SUM(F30:F37)</f>
        <v>0</v>
      </c>
      <c r="I38" s="72">
        <f>SUM(I30:I37)</f>
        <v>0</v>
      </c>
    </row>
    <row r="39" spans="2:19" x14ac:dyDescent="0.2">
      <c r="B39" s="2" t="s">
        <v>56</v>
      </c>
      <c r="F39" s="2">
        <f>ROUND(F38/1659,4)</f>
        <v>0</v>
      </c>
      <c r="I39" s="2">
        <f>ROUND(I38/1659,4)</f>
        <v>0</v>
      </c>
    </row>
    <row r="41" spans="2:19" x14ac:dyDescent="0.2">
      <c r="B41" s="2" t="s">
        <v>77</v>
      </c>
      <c r="F41" s="6">
        <f>DATEDIF(  'DI-tabellen'!C5,   MIN('DI-tabellen'!C7,DATE(YEAR('DI-tabellen'!C8)+1,8,1)),"M" )</f>
        <v>12</v>
      </c>
      <c r="I41" s="6">
        <f>IFERROR(DATEDIF('DI-tabellen'!C7,DATE(YEAR('DI-tabellen'!C8)+1,8,1),"M" ),0)</f>
        <v>0</v>
      </c>
      <c r="J41" s="118"/>
    </row>
    <row r="42" spans="2:19" ht="12.75" thickBot="1" x14ac:dyDescent="0.25">
      <c r="F42" s="73"/>
      <c r="I42" s="73"/>
      <c r="O42" s="126" t="s">
        <v>79</v>
      </c>
    </row>
    <row r="43" spans="2:19" x14ac:dyDescent="0.2">
      <c r="B43" s="138" t="s">
        <v>84</v>
      </c>
      <c r="C43" s="137"/>
      <c r="D43" s="137"/>
      <c r="E43" s="137"/>
      <c r="F43" s="139"/>
      <c r="G43" s="137"/>
      <c r="H43" s="137"/>
      <c r="I43" s="139"/>
      <c r="J43" s="137"/>
      <c r="K43" s="137"/>
      <c r="L43" s="137"/>
      <c r="O43" s="121" t="e">
        <f>O45*F31</f>
        <v>#DIV/0!</v>
      </c>
      <c r="P43" s="130"/>
      <c r="Q43" s="130"/>
      <c r="R43" s="122" t="e">
        <f>R45*I31</f>
        <v>#DIV/0!</v>
      </c>
    </row>
    <row r="44" spans="2:19" ht="4.5" customHeight="1" x14ac:dyDescent="0.2">
      <c r="B44" s="6"/>
      <c r="F44" s="73"/>
      <c r="I44" s="73"/>
      <c r="O44" s="128"/>
      <c r="R44" s="129"/>
      <c r="S44" s="125"/>
    </row>
    <row r="45" spans="2:19" x14ac:dyDescent="0.2">
      <c r="B45" s="2" t="s">
        <v>52</v>
      </c>
      <c r="C45" s="155"/>
      <c r="D45" s="155"/>
      <c r="F45" s="175">
        <v>0</v>
      </c>
      <c r="G45" s="127" t="str">
        <f>IF(O51,"Max "&amp;F31,IF(O59,"Zie hieronder",""))</f>
        <v/>
      </c>
      <c r="I45" s="175">
        <v>0</v>
      </c>
      <c r="J45" s="127" t="str">
        <f>IF(R51,"Max "&amp;I31,IF(R59,"Zie hieronder",""))</f>
        <v/>
      </c>
      <c r="O45" s="123" t="e">
        <f>F46/SUM(F32,F33,F34)</f>
        <v>#DIV/0!</v>
      </c>
      <c r="P45" s="131"/>
      <c r="Q45" s="131"/>
      <c r="R45" s="124" t="e">
        <f>I46/SUM(I32,I33,I34)</f>
        <v>#DIV/0!</v>
      </c>
    </row>
    <row r="46" spans="2:19" x14ac:dyDescent="0.2">
      <c r="B46" s="2" t="s">
        <v>113</v>
      </c>
      <c r="C46" s="155"/>
      <c r="D46" s="155"/>
      <c r="F46" s="175">
        <v>0</v>
      </c>
      <c r="G46" s="2" t="str">
        <f>IF(O52,"Max "&amp;SUM(F32,F33,F34),"")</f>
        <v/>
      </c>
      <c r="I46" s="175">
        <v>0</v>
      </c>
      <c r="J46" s="2" t="str">
        <f>IF(R52,"Max "&amp;SUM(I32,I33,I34),"")</f>
        <v/>
      </c>
      <c r="O46" s="126" t="s">
        <v>80</v>
      </c>
    </row>
    <row r="47" spans="2:19" x14ac:dyDescent="0.2">
      <c r="B47" s="2" t="s">
        <v>112</v>
      </c>
      <c r="C47" s="155"/>
      <c r="D47" s="155"/>
      <c r="F47" s="175">
        <v>0</v>
      </c>
      <c r="G47" s="2" t="str">
        <f>IF(O53,"Max "&amp;SUM(F35,F36),"")</f>
        <v/>
      </c>
      <c r="I47" s="175">
        <v>0</v>
      </c>
      <c r="J47" s="2" t="str">
        <f>IF(R53,"Max "&amp;SUM(I35,I36),"")</f>
        <v/>
      </c>
      <c r="O47" s="121">
        <f>IF(O48,F31,0)</f>
        <v>0</v>
      </c>
      <c r="P47" s="130"/>
      <c r="Q47" s="130"/>
      <c r="R47" s="122">
        <f>IF(R48,I31,0)</f>
        <v>0</v>
      </c>
      <c r="S47" s="125"/>
    </row>
    <row r="48" spans="2:19" x14ac:dyDescent="0.2">
      <c r="B48" s="71" t="s">
        <v>57</v>
      </c>
      <c r="F48" s="72">
        <f>SUM(F45:F47)</f>
        <v>0</v>
      </c>
      <c r="I48" s="72">
        <f>SUM(I45:I47)</f>
        <v>0</v>
      </c>
      <c r="O48" s="123" t="b">
        <f>F46=SUM(F32,F33,F34)</f>
        <v>1</v>
      </c>
      <c r="P48" s="131"/>
      <c r="Q48" s="131"/>
      <c r="R48" s="124" t="b">
        <f>I46=SUM(I32,I33,I34)</f>
        <v>1</v>
      </c>
    </row>
    <row r="49" spans="2:19" x14ac:dyDescent="0.2">
      <c r="B49" s="2" t="s">
        <v>58</v>
      </c>
      <c r="F49" s="70">
        <f>F38-F48</f>
        <v>0</v>
      </c>
      <c r="I49" s="70">
        <f>I38-I48</f>
        <v>0</v>
      </c>
    </row>
    <row r="50" spans="2:19" x14ac:dyDescent="0.2">
      <c r="O50" s="134" t="s">
        <v>78</v>
      </c>
      <c r="P50" s="130"/>
      <c r="Q50" s="130"/>
      <c r="R50" s="122"/>
    </row>
    <row r="51" spans="2:19" ht="12" customHeight="1" x14ac:dyDescent="0.2">
      <c r="F51" s="184" t="str">
        <f>IF(O59,"Bij verlofopname van "&amp;F46&amp;" uur uit overgangs- of bijzonder budget mag   "&amp;ROUNDDOWN(IF(O57="XX",O43,O47),1)&amp;"   uur verlof uit basisbudget opgenomen worden.","")</f>
        <v/>
      </c>
      <c r="G51" s="185"/>
      <c r="I51" s="184" t="str">
        <f>IF(R59,"Bij verlofopname van "&amp;I46&amp;" uur uit overgangs- of bijzonder budget mag   "&amp;ROUNDDOWN(IF(R57="XX",R43,R47),1)&amp;"   uur verlof uit basisbudget opgenomen worden.","")</f>
        <v/>
      </c>
      <c r="J51" s="185"/>
      <c r="O51" s="128" t="b">
        <f>F45&gt;F31</f>
        <v>0</v>
      </c>
      <c r="R51" s="129" t="b">
        <f>I45&gt;I31</f>
        <v>0</v>
      </c>
    </row>
    <row r="52" spans="2:19" ht="12" customHeight="1" x14ac:dyDescent="0.2">
      <c r="F52" s="185"/>
      <c r="G52" s="185"/>
      <c r="I52" s="185"/>
      <c r="J52" s="185"/>
      <c r="O52" s="128" t="b">
        <f>F46&gt;SUM(F32,F33,F34)</f>
        <v>0</v>
      </c>
      <c r="R52" s="129" t="b">
        <f>I46&gt;SUM(I32,I33,I34)</f>
        <v>0</v>
      </c>
    </row>
    <row r="53" spans="2:19" ht="12" customHeight="1" x14ac:dyDescent="0.2">
      <c r="F53" s="186"/>
      <c r="G53" s="186"/>
      <c r="I53" s="186"/>
      <c r="J53" s="186"/>
      <c r="O53" s="123" t="b">
        <f>F47&gt;SUM(F35,F36)</f>
        <v>0</v>
      </c>
      <c r="P53" s="131"/>
      <c r="Q53" s="131"/>
      <c r="R53" s="124" t="b">
        <f>I47&gt;SUM(I35,I36)</f>
        <v>0</v>
      </c>
    </row>
    <row r="54" spans="2:19" ht="12" customHeight="1" x14ac:dyDescent="0.2">
      <c r="F54" s="186"/>
      <c r="G54" s="186"/>
      <c r="I54" s="186"/>
      <c r="J54" s="186"/>
    </row>
    <row r="55" spans="2:19" ht="6.75" customHeight="1" x14ac:dyDescent="0.2">
      <c r="F55" s="186"/>
      <c r="G55" s="186"/>
      <c r="I55" s="186"/>
      <c r="J55" s="186"/>
    </row>
    <row r="56" spans="2:19" ht="7.5" customHeight="1" thickBot="1" x14ac:dyDescent="0.25">
      <c r="F56" s="161"/>
      <c r="G56" s="161"/>
      <c r="I56" s="161"/>
      <c r="J56" s="161"/>
      <c r="O56" s="134" t="s">
        <v>81</v>
      </c>
      <c r="P56" s="130"/>
      <c r="Q56" s="130"/>
      <c r="R56" s="122"/>
    </row>
    <row r="57" spans="2:19" x14ac:dyDescent="0.2">
      <c r="B57" s="138" t="s">
        <v>100</v>
      </c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O57" s="132" t="str">
        <f>'DI-tabellen'!G20</f>
        <v/>
      </c>
      <c r="P57" s="126"/>
      <c r="Q57" s="126"/>
      <c r="R57" s="133" t="str">
        <f>'DI-tabellen'!I20</f>
        <v/>
      </c>
    </row>
    <row r="58" spans="2:19" ht="4.5" customHeight="1" x14ac:dyDescent="0.2">
      <c r="B58" s="6"/>
      <c r="O58" s="128"/>
      <c r="R58" s="129"/>
    </row>
    <row r="59" spans="2:19" x14ac:dyDescent="0.2">
      <c r="B59" s="2" t="s">
        <v>52</v>
      </c>
      <c r="F59" s="70">
        <f>IF(SUM('DI-tabellen'!F22,'DI-tabellen'!F24,'DI-tabellen'!F25)=0,0,MAX(0,F31-F45))</f>
        <v>0</v>
      </c>
      <c r="G59" s="36" t="str">
        <f>IF(F41=12,""," x    "&amp;F41&amp;"/12    +")</f>
        <v/>
      </c>
      <c r="I59" s="70">
        <f>IF(SUM('DI-tabellen'!H22,'DI-tabellen'!H24,'DI-tabellen'!H25)=0,0,MAX(0,I31-I45))</f>
        <v>0</v>
      </c>
      <c r="J59" s="142" t="str">
        <f>IF(I41=12,""," x    "&amp;I41&amp;"/12    =")</f>
        <v xml:space="preserve"> x    0/12    =</v>
      </c>
      <c r="K59" s="143" t="str">
        <f>IF(F41=12,"",S60)</f>
        <v/>
      </c>
      <c r="O59" s="123" t="b">
        <f>IF(O57="XX",$F$45&gt;$O$43,IF(O57="X",$F$45&gt;$O$47,FALSE))</f>
        <v>0</v>
      </c>
      <c r="P59" s="131"/>
      <c r="Q59" s="131"/>
      <c r="R59" s="124" t="b">
        <f>IF(R57="XX",$I$45&gt;$R$43,IF(R57="X",$I$45&gt;$R$47,FALSE))</f>
        <v>0</v>
      </c>
    </row>
    <row r="60" spans="2:19" x14ac:dyDescent="0.2">
      <c r="B60" s="2" t="s">
        <v>53</v>
      </c>
      <c r="F60" s="70">
        <f>MAX(0,F34-F46)</f>
        <v>0</v>
      </c>
      <c r="G60" s="36" t="str">
        <f>IF(F41=12,""," x    "&amp;F41&amp;"/12    +")</f>
        <v/>
      </c>
      <c r="I60" s="70">
        <f>MAX(0,I34-I46)</f>
        <v>0</v>
      </c>
      <c r="J60" s="142" t="str">
        <f>IF(I41=12,""," x    "&amp;I41&amp;"/12    =")</f>
        <v xml:space="preserve"> x    0/12    =</v>
      </c>
      <c r="K60" s="143" t="str">
        <f>IF(F41=12,"",S61)</f>
        <v/>
      </c>
      <c r="O60" s="121">
        <f>F59*F41/12</f>
        <v>0</v>
      </c>
      <c r="P60" s="130"/>
      <c r="Q60" s="130"/>
      <c r="R60" s="130">
        <f>I59*I41/12</f>
        <v>0</v>
      </c>
      <c r="S60" s="162">
        <f>ROUND(O60+R60,1)</f>
        <v>0</v>
      </c>
    </row>
    <row r="61" spans="2:19" ht="12.75" thickBot="1" x14ac:dyDescent="0.25">
      <c r="O61" s="123">
        <f>F60*F41/12</f>
        <v>0</v>
      </c>
      <c r="P61" s="131"/>
      <c r="Q61" s="131"/>
      <c r="R61" s="131">
        <f>I60*I41/12</f>
        <v>0</v>
      </c>
      <c r="S61" s="163">
        <f>ROUND(O61+R61,1)</f>
        <v>0</v>
      </c>
    </row>
    <row r="62" spans="2:19" x14ac:dyDescent="0.2">
      <c r="B62" s="138" t="s">
        <v>86</v>
      </c>
      <c r="C62" s="137"/>
      <c r="D62" s="137"/>
      <c r="E62" s="137"/>
      <c r="F62" s="137"/>
      <c r="G62" s="137"/>
      <c r="H62" s="137"/>
      <c r="I62" s="137"/>
      <c r="J62" s="137"/>
      <c r="K62" s="137"/>
      <c r="L62" s="137"/>
    </row>
    <row r="63" spans="2:19" ht="4.5" customHeight="1" x14ac:dyDescent="0.2">
      <c r="B63" s="6"/>
    </row>
    <row r="64" spans="2:19" x14ac:dyDescent="0.2">
      <c r="B64" s="2" t="s">
        <v>82</v>
      </c>
      <c r="F64" s="175">
        <v>0</v>
      </c>
      <c r="I64" s="203">
        <v>0</v>
      </c>
    </row>
    <row r="65" spans="2:18" x14ac:dyDescent="0.2">
      <c r="B65" s="2" t="s">
        <v>87</v>
      </c>
      <c r="F65" s="175">
        <v>0</v>
      </c>
      <c r="I65" s="203">
        <v>0</v>
      </c>
    </row>
    <row r="66" spans="2:18" x14ac:dyDescent="0.2">
      <c r="B66" s="2" t="s">
        <v>88</v>
      </c>
      <c r="F66" s="176">
        <v>0</v>
      </c>
      <c r="I66" s="204">
        <v>0</v>
      </c>
    </row>
    <row r="67" spans="2:18" x14ac:dyDescent="0.2">
      <c r="O67" s="121" t="s">
        <v>105</v>
      </c>
      <c r="P67" s="130"/>
      <c r="Q67" s="130"/>
      <c r="R67" s="122"/>
    </row>
    <row r="68" spans="2:18" x14ac:dyDescent="0.2">
      <c r="B68" s="2" t="s">
        <v>98</v>
      </c>
      <c r="F68" s="70">
        <f>SUM(F48,F64,F65,F66)</f>
        <v>0</v>
      </c>
      <c r="G68" s="2" t="str">
        <f>IF(O68,"&gt; 340 x WTF","")</f>
        <v/>
      </c>
      <c r="I68" s="70">
        <f>SUM(I48,I64,I65,I66)</f>
        <v>0</v>
      </c>
      <c r="J68" s="2" t="str">
        <f>IF(R68,"&gt; 340 x WTF","")</f>
        <v/>
      </c>
      <c r="O68" s="123" t="b">
        <f>SUM(F48,F65,F66)&gt;340*$F16</f>
        <v>0</v>
      </c>
      <c r="P68" s="131"/>
      <c r="Q68" s="131"/>
      <c r="R68" s="124" t="b">
        <f>SUM(I48,I65,I66)&gt;340*$F16</f>
        <v>0</v>
      </c>
    </row>
    <row r="69" spans="2:18" ht="12.75" thickBot="1" x14ac:dyDescent="0.25"/>
    <row r="70" spans="2:18" x14ac:dyDescent="0.2">
      <c r="B70" s="147" t="s">
        <v>90</v>
      </c>
      <c r="C70" s="137"/>
      <c r="D70" s="137"/>
      <c r="E70" s="148"/>
      <c r="F70" s="148"/>
      <c r="G70" s="149"/>
      <c r="H70" s="149"/>
      <c r="I70" s="149"/>
      <c r="J70" s="149"/>
      <c r="K70" s="149"/>
      <c r="L70" s="149"/>
      <c r="M70" s="144"/>
    </row>
    <row r="71" spans="2:18" ht="4.5" customHeight="1" x14ac:dyDescent="0.2">
      <c r="B71" s="145"/>
      <c r="E71" s="146"/>
      <c r="F71" s="146"/>
      <c r="G71" s="144"/>
      <c r="H71" s="144"/>
      <c r="I71" s="144"/>
      <c r="J71" s="144"/>
      <c r="K71" s="144"/>
      <c r="L71" s="144"/>
      <c r="M71" s="144"/>
    </row>
    <row r="72" spans="2:18" ht="14.25" x14ac:dyDescent="0.2">
      <c r="B72" s="177" t="s">
        <v>91</v>
      </c>
      <c r="D72" s="198" t="s">
        <v>92</v>
      </c>
      <c r="E72" s="199"/>
      <c r="F72" s="199"/>
      <c r="G72" s="199"/>
      <c r="I72" s="196" t="s">
        <v>93</v>
      </c>
      <c r="J72" s="197"/>
      <c r="K72" s="197"/>
      <c r="L72" s="197"/>
      <c r="M72" s="156"/>
    </row>
    <row r="73" spans="2:18" ht="14.25" x14ac:dyDescent="0.2">
      <c r="B73" s="192"/>
      <c r="D73" s="195"/>
      <c r="E73" s="193"/>
      <c r="F73" s="193"/>
      <c r="G73" s="193"/>
      <c r="I73" s="189"/>
      <c r="J73" s="190"/>
      <c r="K73" s="190"/>
      <c r="L73" s="190"/>
      <c r="M73" s="157"/>
    </row>
    <row r="74" spans="2:18" ht="14.25" x14ac:dyDescent="0.2">
      <c r="B74" s="193"/>
      <c r="D74" s="193"/>
      <c r="E74" s="193"/>
      <c r="F74" s="193"/>
      <c r="G74" s="193"/>
      <c r="I74" s="190"/>
      <c r="J74" s="190"/>
      <c r="K74" s="190"/>
      <c r="L74" s="190"/>
      <c r="M74" s="157"/>
    </row>
    <row r="75" spans="2:18" ht="14.25" x14ac:dyDescent="0.2">
      <c r="B75" s="193"/>
      <c r="D75" s="193"/>
      <c r="E75" s="193"/>
      <c r="F75" s="193"/>
      <c r="G75" s="193"/>
      <c r="I75" s="190"/>
      <c r="J75" s="190"/>
      <c r="K75" s="190"/>
      <c r="L75" s="190"/>
      <c r="M75" s="157"/>
    </row>
    <row r="76" spans="2:18" ht="14.25" x14ac:dyDescent="0.2">
      <c r="B76" s="194"/>
      <c r="D76" s="194"/>
      <c r="E76" s="194"/>
      <c r="F76" s="194"/>
      <c r="G76" s="194"/>
      <c r="I76" s="191"/>
      <c r="J76" s="191"/>
      <c r="K76" s="191"/>
      <c r="L76" s="191"/>
      <c r="M76" s="157"/>
    </row>
    <row r="77" spans="2:18" ht="19.5" customHeight="1" thickBot="1" x14ac:dyDescent="0.25"/>
    <row r="78" spans="2:18" x14ac:dyDescent="0.2">
      <c r="B78" s="138" t="s">
        <v>103</v>
      </c>
      <c r="C78" s="137"/>
      <c r="D78" s="137"/>
      <c r="E78" s="137"/>
      <c r="F78" s="137"/>
      <c r="G78" s="137"/>
      <c r="H78" s="137"/>
      <c r="I78" s="137"/>
      <c r="J78" s="137"/>
      <c r="K78" s="137"/>
      <c r="L78" s="137"/>
    </row>
    <row r="79" spans="2:18" ht="4.5" customHeight="1" x14ac:dyDescent="0.2"/>
    <row r="80" spans="2:18" ht="14.25" x14ac:dyDescent="0.2">
      <c r="B80" s="2" t="s">
        <v>101</v>
      </c>
      <c r="F80" s="164">
        <f>ROUND((F48+F65+F66)/1659,5)</f>
        <v>0</v>
      </c>
      <c r="I80" s="164">
        <f>ROUND((I48+I65+I66)/1659,5)</f>
        <v>0</v>
      </c>
    </row>
    <row r="81" spans="2:9" ht="14.25" x14ac:dyDescent="0.2">
      <c r="B81" s="2" t="s">
        <v>104</v>
      </c>
      <c r="F81" s="164">
        <f>ROUND(F64/1659,5)</f>
        <v>0</v>
      </c>
      <c r="I81" s="164">
        <f>ROUND(I64/1659,5)</f>
        <v>0</v>
      </c>
    </row>
    <row r="82" spans="2:9" ht="14.25" x14ac:dyDescent="0.2">
      <c r="B82" s="2" t="s">
        <v>102</v>
      </c>
      <c r="F82" s="165">
        <f>(F45+F65)/$F16</f>
        <v>0</v>
      </c>
      <c r="I82" s="165">
        <f>(I45+I65)/$F16</f>
        <v>0</v>
      </c>
    </row>
  </sheetData>
  <sheetProtection algorithmName="SHA-512" hashValue="plCDrp/W8G/ea9d9xiglePyeQYp9L1RN8RvM4gqIsZyhHTae0s4VDEdCtY0Z/+cqU6edZBC+3fV0zY/YXN+YSg==" saltValue="dd8qs7y3REuE4fDdr0baEg==" spinCount="100000" sheet="1" objects="1" scenarios="1"/>
  <mergeCells count="12">
    <mergeCell ref="C27:D29"/>
    <mergeCell ref="I73:L76"/>
    <mergeCell ref="B73:B76"/>
    <mergeCell ref="D73:G76"/>
    <mergeCell ref="I72:L72"/>
    <mergeCell ref="D72:G72"/>
    <mergeCell ref="F7:L7"/>
    <mergeCell ref="F8:L8"/>
    <mergeCell ref="F9:L9"/>
    <mergeCell ref="F12:L12"/>
    <mergeCell ref="F51:G55"/>
    <mergeCell ref="I51:J55"/>
  </mergeCells>
  <conditionalFormatting sqref="G45 J45">
    <cfRule type="expression" dxfId="8" priority="89">
      <formula>O$59</formula>
    </cfRule>
  </conditionalFormatting>
  <conditionalFormatting sqref="I51:J55 F51:G55">
    <cfRule type="expression" dxfId="7" priority="87">
      <formula>O$59</formula>
    </cfRule>
  </conditionalFormatting>
  <conditionalFormatting sqref="I26:K41 I44:K55 I58:K60 I64:K68 I79:K82">
    <cfRule type="expression" dxfId="6" priority="1" stopIfTrue="1">
      <formula>$R$28</formula>
    </cfRule>
  </conditionalFormatting>
  <conditionalFormatting sqref="J45 G45">
    <cfRule type="expression" dxfId="5" priority="80" stopIfTrue="1">
      <formula>O$51</formula>
    </cfRule>
  </conditionalFormatting>
  <conditionalFormatting sqref="J46 G46:H46">
    <cfRule type="expression" dxfId="4" priority="55">
      <formula>O$52</formula>
    </cfRule>
  </conditionalFormatting>
  <conditionalFormatting sqref="J47 G47">
    <cfRule type="expression" dxfId="3" priority="75">
      <formula>O$53</formula>
    </cfRule>
  </conditionalFormatting>
  <conditionalFormatting sqref="J51:J56">
    <cfRule type="expression" dxfId="2" priority="61">
      <formula>S$57</formula>
    </cfRule>
    <cfRule type="expression" dxfId="1" priority="90">
      <formula>#REF!</formula>
    </cfRule>
  </conditionalFormatting>
  <conditionalFormatting sqref="J68 G68">
    <cfRule type="expression" dxfId="0" priority="86">
      <formula>O$68</formula>
    </cfRule>
  </conditionalFormatting>
  <dataValidations count="1">
    <dataValidation type="custom" allowBlank="1" showErrorMessage="1" errorTitle="Foutmelding" error="Let op! _x000a_Er is geen aanspraak op het aanvullend overgangsbudget, deze uren kunnen dus niet worden opgenomen." sqref="F47" xr:uid="{A984B50F-7FD3-4A0F-BB33-8908D08B7E5C}">
      <formula1>IF(F36=0,F47=0,F47&gt;=0)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&amp;LPrintdatum: &amp;D&amp;RVersie: 202001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L60"/>
  <sheetViews>
    <sheetView workbookViewId="0"/>
  </sheetViews>
  <sheetFormatPr defaultColWidth="8.875" defaultRowHeight="14.25" x14ac:dyDescent="0.2"/>
  <cols>
    <col min="1" max="1" width="15.875" customWidth="1"/>
    <col min="2" max="2" width="9.875" customWidth="1"/>
    <col min="3" max="3" width="14.375" customWidth="1"/>
    <col min="4" max="5" width="10.125" bestFit="1" customWidth="1"/>
    <col min="6" max="6" width="11.625" customWidth="1"/>
    <col min="7" max="7" width="5.375" customWidth="1"/>
    <col min="8" max="8" width="10.125" bestFit="1" customWidth="1"/>
    <col min="9" max="9" width="3.5" customWidth="1"/>
    <col min="10" max="10" width="10.125" bestFit="1" customWidth="1"/>
    <col min="12" max="12" width="10.125" bestFit="1" customWidth="1"/>
    <col min="13" max="13" width="11.125" customWidth="1"/>
  </cols>
  <sheetData>
    <row r="2" spans="1:38" x14ac:dyDescent="0.2">
      <c r="K2" s="51">
        <v>1</v>
      </c>
      <c r="L2" s="51">
        <f>K2+1</f>
        <v>2</v>
      </c>
      <c r="M2" s="51">
        <f t="shared" ref="M2:AL2" si="0">L2+1</f>
        <v>3</v>
      </c>
      <c r="N2" s="51">
        <f t="shared" si="0"/>
        <v>4</v>
      </c>
      <c r="O2" s="51">
        <f t="shared" si="0"/>
        <v>5</v>
      </c>
      <c r="P2" s="51">
        <f t="shared" si="0"/>
        <v>6</v>
      </c>
      <c r="Q2" s="51">
        <f t="shared" si="0"/>
        <v>7</v>
      </c>
      <c r="R2" s="51">
        <f t="shared" si="0"/>
        <v>8</v>
      </c>
      <c r="S2" s="51">
        <f t="shared" si="0"/>
        <v>9</v>
      </c>
      <c r="T2" s="51">
        <f t="shared" si="0"/>
        <v>10</v>
      </c>
      <c r="U2" s="51">
        <f t="shared" si="0"/>
        <v>11</v>
      </c>
      <c r="V2" s="51">
        <f t="shared" si="0"/>
        <v>12</v>
      </c>
      <c r="W2" s="51">
        <f t="shared" si="0"/>
        <v>13</v>
      </c>
      <c r="X2" s="51">
        <f t="shared" si="0"/>
        <v>14</v>
      </c>
      <c r="Y2" s="51">
        <f t="shared" si="0"/>
        <v>15</v>
      </c>
      <c r="Z2" s="51">
        <f t="shared" si="0"/>
        <v>16</v>
      </c>
      <c r="AA2" s="51">
        <f t="shared" si="0"/>
        <v>17</v>
      </c>
      <c r="AB2" s="51">
        <f t="shared" si="0"/>
        <v>18</v>
      </c>
      <c r="AC2" s="51">
        <f t="shared" si="0"/>
        <v>19</v>
      </c>
      <c r="AD2" s="51">
        <f t="shared" si="0"/>
        <v>20</v>
      </c>
      <c r="AE2" s="51">
        <f t="shared" si="0"/>
        <v>21</v>
      </c>
      <c r="AF2" s="51">
        <f t="shared" si="0"/>
        <v>22</v>
      </c>
      <c r="AG2" s="51">
        <f t="shared" si="0"/>
        <v>23</v>
      </c>
      <c r="AH2" s="51">
        <f t="shared" si="0"/>
        <v>24</v>
      </c>
      <c r="AI2" s="51">
        <f t="shared" si="0"/>
        <v>25</v>
      </c>
      <c r="AJ2" s="51">
        <f t="shared" si="0"/>
        <v>26</v>
      </c>
      <c r="AK2" s="51">
        <f t="shared" si="0"/>
        <v>27</v>
      </c>
      <c r="AL2" s="51">
        <f t="shared" si="0"/>
        <v>28</v>
      </c>
    </row>
    <row r="3" spans="1:38" x14ac:dyDescent="0.2">
      <c r="A3" s="112" t="s">
        <v>72</v>
      </c>
      <c r="B3" s="112"/>
      <c r="C3" s="112"/>
      <c r="K3" s="42">
        <v>41912</v>
      </c>
      <c r="R3" s="42">
        <v>41912</v>
      </c>
      <c r="Y3" s="42">
        <v>41912</v>
      </c>
      <c r="AF3" s="42">
        <v>41912</v>
      </c>
    </row>
    <row r="4" spans="1:38" ht="15" x14ac:dyDescent="0.25">
      <c r="A4" s="49" t="s">
        <v>37</v>
      </c>
      <c r="B4" s="50"/>
      <c r="C4" s="94" t="s">
        <v>23</v>
      </c>
      <c r="D4" s="116">
        <f>IF(OR(DI!F15="j",DI!F15="ja"),MATCH(DI!F22,D9:D12,1),1)</f>
        <v>1</v>
      </c>
      <c r="K4" t="s">
        <v>33</v>
      </c>
      <c r="R4" t="s">
        <v>34</v>
      </c>
      <c r="Y4" t="s">
        <v>35</v>
      </c>
      <c r="AF4" t="s">
        <v>36</v>
      </c>
    </row>
    <row r="5" spans="1:38" x14ac:dyDescent="0.2">
      <c r="A5" s="74" t="s">
        <v>64</v>
      </c>
      <c r="B5" s="75"/>
      <c r="C5" s="88">
        <f>DI!F20</f>
        <v>45505</v>
      </c>
      <c r="D5" s="16"/>
      <c r="E5" s="16"/>
      <c r="F5" s="37"/>
      <c r="G5" s="37"/>
      <c r="H5" s="16"/>
      <c r="I5" s="16"/>
      <c r="J5" s="38" t="s">
        <v>61</v>
      </c>
      <c r="K5" s="39">
        <v>1</v>
      </c>
      <c r="L5" s="39">
        <v>1</v>
      </c>
      <c r="M5" s="39">
        <v>1</v>
      </c>
      <c r="N5" s="39">
        <v>1</v>
      </c>
      <c r="O5" s="39">
        <v>1</v>
      </c>
      <c r="P5" s="39">
        <v>1</v>
      </c>
      <c r="Q5" s="39">
        <v>1</v>
      </c>
      <c r="R5" s="17">
        <v>2</v>
      </c>
      <c r="S5" s="17">
        <v>2</v>
      </c>
      <c r="T5" s="17">
        <v>2</v>
      </c>
      <c r="U5" s="17">
        <v>2</v>
      </c>
      <c r="V5" s="17">
        <v>2</v>
      </c>
      <c r="W5" s="17">
        <v>2</v>
      </c>
      <c r="X5" s="17">
        <v>2</v>
      </c>
      <c r="Y5" s="39">
        <v>3</v>
      </c>
      <c r="Z5" s="39">
        <v>3</v>
      </c>
      <c r="AA5" s="39">
        <v>3</v>
      </c>
      <c r="AB5" s="39">
        <v>3</v>
      </c>
      <c r="AC5" s="39">
        <v>3</v>
      </c>
      <c r="AD5" s="39">
        <v>3</v>
      </c>
      <c r="AE5" s="39">
        <v>3</v>
      </c>
      <c r="AF5" s="17">
        <v>4</v>
      </c>
      <c r="AG5" s="17">
        <v>4</v>
      </c>
      <c r="AH5" s="17">
        <v>4</v>
      </c>
      <c r="AI5" s="17">
        <v>4</v>
      </c>
      <c r="AJ5" s="17">
        <v>4</v>
      </c>
      <c r="AK5" s="17">
        <v>4</v>
      </c>
      <c r="AL5" s="17">
        <v>4</v>
      </c>
    </row>
    <row r="6" spans="1:38" x14ac:dyDescent="0.2">
      <c r="A6" s="74" t="s">
        <v>69</v>
      </c>
      <c r="B6" s="83"/>
      <c r="C6" s="88">
        <f>INDEX(J34:J37,MATCH(C5,J34:J37,1))</f>
        <v>23742</v>
      </c>
      <c r="D6" s="89" t="str">
        <f>INDEX(D9:D13,MATCH(C6,F9:F13,1))&amp;"+"</f>
        <v>AOW+</v>
      </c>
      <c r="E6" s="97" t="s">
        <v>67</v>
      </c>
      <c r="F6" s="109">
        <f>MATCH($C$6,F9:F13,1)</f>
        <v>5</v>
      </c>
      <c r="G6" s="90"/>
      <c r="H6" s="16"/>
      <c r="I6" s="16"/>
      <c r="J6" s="38" t="s">
        <v>62</v>
      </c>
      <c r="K6" s="40" t="s">
        <v>25</v>
      </c>
      <c r="L6" s="40" t="s">
        <v>26</v>
      </c>
      <c r="M6" s="40" t="s">
        <v>27</v>
      </c>
      <c r="N6" s="40" t="s">
        <v>27</v>
      </c>
      <c r="O6" s="40" t="s">
        <v>28</v>
      </c>
      <c r="P6" s="40" t="s">
        <v>28</v>
      </c>
      <c r="Q6" s="40" t="s">
        <v>29</v>
      </c>
      <c r="R6" s="41" t="s">
        <v>25</v>
      </c>
      <c r="S6" s="41" t="s">
        <v>26</v>
      </c>
      <c r="T6" s="41" t="s">
        <v>27</v>
      </c>
      <c r="U6" s="41" t="s">
        <v>27</v>
      </c>
      <c r="V6" s="41" t="s">
        <v>28</v>
      </c>
      <c r="W6" s="41" t="s">
        <v>28</v>
      </c>
      <c r="X6" s="41" t="s">
        <v>29</v>
      </c>
      <c r="Y6" s="40" t="s">
        <v>25</v>
      </c>
      <c r="Z6" s="40" t="s">
        <v>26</v>
      </c>
      <c r="AA6" s="40" t="s">
        <v>27</v>
      </c>
      <c r="AB6" s="40" t="s">
        <v>27</v>
      </c>
      <c r="AC6" s="40" t="s">
        <v>28</v>
      </c>
      <c r="AD6" s="40" t="s">
        <v>28</v>
      </c>
      <c r="AE6" s="40" t="s">
        <v>29</v>
      </c>
      <c r="AF6" s="41" t="s">
        <v>25</v>
      </c>
      <c r="AG6" s="41" t="s">
        <v>26</v>
      </c>
      <c r="AH6" s="41" t="s">
        <v>27</v>
      </c>
      <c r="AI6" s="41" t="s">
        <v>27</v>
      </c>
      <c r="AJ6" s="41" t="s">
        <v>28</v>
      </c>
      <c r="AK6" s="41" t="s">
        <v>28</v>
      </c>
      <c r="AL6" s="41" t="s">
        <v>29</v>
      </c>
    </row>
    <row r="7" spans="1:38" x14ac:dyDescent="0.2">
      <c r="A7" s="74" t="s">
        <v>65</v>
      </c>
      <c r="C7" s="88">
        <f>INDEX(J34:J37,MATCH(C5,J34:J37,1)+1)</f>
        <v>401768</v>
      </c>
      <c r="D7" s="89" t="str">
        <f>INDEX(D9:D13,MATCH(C7,F9:F13,1))&amp;" bereikt"</f>
        <v>AOW bereikt</v>
      </c>
      <c r="E7" s="97" t="s">
        <v>67</v>
      </c>
      <c r="F7" s="109">
        <f>MATCH($C$7,F9:F13,1)</f>
        <v>5</v>
      </c>
      <c r="G7" s="90"/>
      <c r="H7" s="16"/>
      <c r="I7" s="16"/>
      <c r="J7" s="16"/>
      <c r="K7" s="40" t="s">
        <v>30</v>
      </c>
      <c r="L7" s="40" t="s">
        <v>39</v>
      </c>
      <c r="M7" s="40" t="s">
        <v>40</v>
      </c>
      <c r="N7" s="40" t="s">
        <v>31</v>
      </c>
      <c r="O7" s="40" t="s">
        <v>41</v>
      </c>
      <c r="P7" s="40" t="s">
        <v>42</v>
      </c>
      <c r="Q7" s="40" t="s">
        <v>32</v>
      </c>
      <c r="R7" s="41" t="s">
        <v>30</v>
      </c>
      <c r="S7" s="41" t="s">
        <v>39</v>
      </c>
      <c r="T7" s="41" t="s">
        <v>40</v>
      </c>
      <c r="U7" s="41" t="s">
        <v>31</v>
      </c>
      <c r="V7" s="41" t="s">
        <v>41</v>
      </c>
      <c r="W7" s="41" t="s">
        <v>42</v>
      </c>
      <c r="X7" s="41" t="s">
        <v>32</v>
      </c>
      <c r="Y7" s="40" t="s">
        <v>30</v>
      </c>
      <c r="Z7" s="40" t="s">
        <v>39</v>
      </c>
      <c r="AA7" s="40" t="s">
        <v>40</v>
      </c>
      <c r="AB7" s="40" t="s">
        <v>31</v>
      </c>
      <c r="AC7" s="40" t="s">
        <v>41</v>
      </c>
      <c r="AD7" s="40" t="s">
        <v>42</v>
      </c>
      <c r="AE7" s="40" t="s">
        <v>32</v>
      </c>
      <c r="AF7" s="41" t="s">
        <v>30</v>
      </c>
      <c r="AG7" s="41" t="s">
        <v>39</v>
      </c>
      <c r="AH7" s="41" t="s">
        <v>40</v>
      </c>
      <c r="AI7" s="41" t="s">
        <v>31</v>
      </c>
      <c r="AJ7" s="41" t="s">
        <v>41</v>
      </c>
      <c r="AK7" s="41" t="s">
        <v>42</v>
      </c>
      <c r="AL7" s="41" t="s">
        <v>32</v>
      </c>
    </row>
    <row r="8" spans="1:38" x14ac:dyDescent="0.2">
      <c r="A8" s="74" t="s">
        <v>59</v>
      </c>
      <c r="B8" s="75"/>
      <c r="C8" s="88">
        <f>DATE(YEAR(DI!F20)-IF(MONTH(DI!F20)&lt;=7,1,0),8,1)</f>
        <v>45505</v>
      </c>
      <c r="D8" s="17" t="s">
        <v>11</v>
      </c>
      <c r="E8" s="16" t="s">
        <v>12</v>
      </c>
      <c r="F8" s="16" t="s">
        <v>13</v>
      </c>
      <c r="G8" s="16"/>
      <c r="H8" s="16"/>
      <c r="I8" s="16"/>
      <c r="J8" s="38" t="s">
        <v>60</v>
      </c>
      <c r="K8" s="39" t="str">
        <f t="shared" ref="K8:AL8" si="1">K5&amp;"-"&amp;K7</f>
        <v>1-40</v>
      </c>
      <c r="L8" s="39" t="str">
        <f t="shared" si="1"/>
        <v>1-130xxa</v>
      </c>
      <c r="M8" s="39" t="str">
        <f t="shared" si="1"/>
        <v>1-130xxb</v>
      </c>
      <c r="N8" s="39" t="str">
        <f t="shared" si="1"/>
        <v>1-170b</v>
      </c>
      <c r="O8" s="39" t="str">
        <f t="shared" si="1"/>
        <v>1-130x</v>
      </c>
      <c r="P8" s="39" t="str">
        <f t="shared" si="1"/>
        <v>1-130xx</v>
      </c>
      <c r="Q8" s="39" t="str">
        <f t="shared" si="1"/>
        <v>1-170</v>
      </c>
      <c r="R8" s="17" t="str">
        <f t="shared" si="1"/>
        <v>2-40</v>
      </c>
      <c r="S8" s="17" t="str">
        <f t="shared" si="1"/>
        <v>2-130xxa</v>
      </c>
      <c r="T8" s="17" t="str">
        <f t="shared" si="1"/>
        <v>2-130xxb</v>
      </c>
      <c r="U8" s="17" t="str">
        <f t="shared" si="1"/>
        <v>2-170b</v>
      </c>
      <c r="V8" s="17" t="str">
        <f t="shared" si="1"/>
        <v>2-130x</v>
      </c>
      <c r="W8" s="17" t="str">
        <f t="shared" si="1"/>
        <v>2-130xx</v>
      </c>
      <c r="X8" s="17" t="str">
        <f t="shared" si="1"/>
        <v>2-170</v>
      </c>
      <c r="Y8" s="39" t="str">
        <f t="shared" si="1"/>
        <v>3-40</v>
      </c>
      <c r="Z8" s="39" t="str">
        <f t="shared" si="1"/>
        <v>3-130xxa</v>
      </c>
      <c r="AA8" s="39" t="str">
        <f t="shared" si="1"/>
        <v>3-130xxb</v>
      </c>
      <c r="AB8" s="39" t="str">
        <f t="shared" si="1"/>
        <v>3-170b</v>
      </c>
      <c r="AC8" s="39" t="str">
        <f t="shared" si="1"/>
        <v>3-130x</v>
      </c>
      <c r="AD8" s="39" t="str">
        <f t="shared" si="1"/>
        <v>3-130xx</v>
      </c>
      <c r="AE8" s="39" t="str">
        <f t="shared" si="1"/>
        <v>3-170</v>
      </c>
      <c r="AF8" s="17" t="str">
        <f t="shared" si="1"/>
        <v>4-40</v>
      </c>
      <c r="AG8" s="17" t="str">
        <f t="shared" si="1"/>
        <v>4-130xxa</v>
      </c>
      <c r="AH8" s="17" t="str">
        <f t="shared" si="1"/>
        <v>4-130xxb</v>
      </c>
      <c r="AI8" s="17" t="str">
        <f t="shared" si="1"/>
        <v>4-170b</v>
      </c>
      <c r="AJ8" s="17" t="str">
        <f t="shared" si="1"/>
        <v>4-130x</v>
      </c>
      <c r="AK8" s="17" t="str">
        <f t="shared" si="1"/>
        <v>4-130xx</v>
      </c>
      <c r="AL8" s="17" t="str">
        <f t="shared" si="1"/>
        <v>4-170</v>
      </c>
    </row>
    <row r="9" spans="1:38" x14ac:dyDescent="0.2">
      <c r="A9" s="16"/>
      <c r="B9" s="16"/>
      <c r="C9" s="16"/>
      <c r="D9" s="43">
        <v>21</v>
      </c>
      <c r="E9" s="18">
        <f>DATE(YEAR(DI!$F$14)+D9,MONTH(DI!$F$14),DAY(DI!$F$14))</f>
        <v>7671</v>
      </c>
      <c r="F9" s="46">
        <f>DATE(YEAR(E9),MONTH(E9)+1,1)</f>
        <v>7672</v>
      </c>
      <c r="G9" s="18"/>
      <c r="H9" s="16"/>
      <c r="I9" s="16"/>
      <c r="J9" s="16">
        <v>1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0</v>
      </c>
      <c r="AE9" s="39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</row>
    <row r="10" spans="1:38" x14ac:dyDescent="0.2">
      <c r="A10" s="16"/>
      <c r="B10" s="16"/>
      <c r="C10" s="16"/>
      <c r="D10" s="44">
        <v>52</v>
      </c>
      <c r="E10" s="18">
        <f>DATE(YEAR(DI!$F$14)+D10,MONTH(DI!$F$14),DAY(DI!$F$14))</f>
        <v>18993</v>
      </c>
      <c r="F10" s="47">
        <f t="shared" ref="F10:F12" si="2">DATE(YEAR(E10),MONTH(E10)+1,1)</f>
        <v>18994</v>
      </c>
      <c r="G10" s="18"/>
      <c r="H10" s="16"/>
      <c r="I10" s="16"/>
      <c r="J10" s="16">
        <v>2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17">
        <v>40</v>
      </c>
      <c r="S10" s="17">
        <v>130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39">
        <v>0</v>
      </c>
      <c r="Z10" s="39">
        <v>0</v>
      </c>
      <c r="AA10" s="39">
        <v>0</v>
      </c>
      <c r="AB10" s="39">
        <v>0</v>
      </c>
      <c r="AC10" s="39">
        <v>0</v>
      </c>
      <c r="AD10" s="39">
        <v>0</v>
      </c>
      <c r="AE10" s="39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</row>
    <row r="11" spans="1:38" x14ac:dyDescent="0.2">
      <c r="A11" s="16"/>
      <c r="B11" s="16"/>
      <c r="C11" s="16"/>
      <c r="D11" s="44">
        <v>56</v>
      </c>
      <c r="E11" s="18">
        <f>DATE(YEAR(DI!$F$14)+D11,MONTH(DI!$F$14),DAY(DI!$F$14))</f>
        <v>20454</v>
      </c>
      <c r="F11" s="47">
        <f t="shared" si="2"/>
        <v>20455</v>
      </c>
      <c r="G11" s="18"/>
      <c r="H11" s="16"/>
      <c r="I11" s="16"/>
      <c r="J11" s="16">
        <v>3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17">
        <v>40</v>
      </c>
      <c r="S11" s="17">
        <v>130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39">
        <v>40</v>
      </c>
      <c r="Z11" s="39">
        <v>0</v>
      </c>
      <c r="AA11" s="39">
        <v>130</v>
      </c>
      <c r="AB11" s="39">
        <v>170</v>
      </c>
      <c r="AC11" s="39">
        <v>0</v>
      </c>
      <c r="AD11" s="39">
        <v>0</v>
      </c>
      <c r="AE11" s="39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</row>
    <row r="12" spans="1:38" x14ac:dyDescent="0.2">
      <c r="A12" s="16"/>
      <c r="B12" s="16"/>
      <c r="C12" s="16"/>
      <c r="D12" s="45">
        <v>57</v>
      </c>
      <c r="E12" s="18">
        <f>DATE(YEAR(DI!$F$14)+D12,MONTH(DI!$F$14),DAY(DI!$F$14))</f>
        <v>20820</v>
      </c>
      <c r="F12" s="47">
        <f t="shared" si="2"/>
        <v>20821</v>
      </c>
      <c r="G12" s="18"/>
      <c r="H12" s="16"/>
      <c r="I12" s="16"/>
      <c r="J12" s="16">
        <v>4</v>
      </c>
      <c r="K12" s="39">
        <v>40</v>
      </c>
      <c r="L12" s="39">
        <v>0</v>
      </c>
      <c r="M12" s="39">
        <v>0</v>
      </c>
      <c r="N12" s="39">
        <v>0</v>
      </c>
      <c r="O12" s="39">
        <v>130</v>
      </c>
      <c r="P12" s="39">
        <v>0</v>
      </c>
      <c r="Q12" s="39">
        <v>0</v>
      </c>
      <c r="R12" s="17">
        <v>40</v>
      </c>
      <c r="S12" s="17">
        <v>0</v>
      </c>
      <c r="T12" s="17">
        <v>0</v>
      </c>
      <c r="U12" s="17">
        <v>0</v>
      </c>
      <c r="V12" s="17">
        <v>130</v>
      </c>
      <c r="W12" s="17">
        <v>0</v>
      </c>
      <c r="X12" s="17">
        <v>0</v>
      </c>
      <c r="Y12" s="39">
        <v>40</v>
      </c>
      <c r="Z12" s="39">
        <v>0</v>
      </c>
      <c r="AA12" s="39">
        <v>0</v>
      </c>
      <c r="AB12" s="39">
        <v>0</v>
      </c>
      <c r="AC12" s="39">
        <v>0</v>
      </c>
      <c r="AD12" s="39">
        <v>130</v>
      </c>
      <c r="AE12" s="39">
        <v>170</v>
      </c>
      <c r="AF12" s="17">
        <v>40</v>
      </c>
      <c r="AG12" s="17">
        <v>0</v>
      </c>
      <c r="AH12" s="17">
        <v>0</v>
      </c>
      <c r="AI12" s="17">
        <v>0</v>
      </c>
      <c r="AJ12" s="17">
        <v>0</v>
      </c>
      <c r="AK12" s="17">
        <v>130</v>
      </c>
      <c r="AL12" s="17">
        <v>170</v>
      </c>
    </row>
    <row r="13" spans="1:38" x14ac:dyDescent="0.2">
      <c r="A13" s="16"/>
      <c r="B13" s="16"/>
      <c r="C13" s="16"/>
      <c r="D13" s="17" t="s">
        <v>22</v>
      </c>
      <c r="E13" s="18">
        <f>'DI-tabellen'!C43</f>
        <v>23742</v>
      </c>
      <c r="F13" s="140">
        <f>E13</f>
        <v>23742</v>
      </c>
      <c r="G13" s="18"/>
      <c r="H13" s="16"/>
      <c r="I13" s="16"/>
      <c r="J13" s="38">
        <v>5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39">
        <v>0</v>
      </c>
      <c r="Z13" s="39">
        <v>0</v>
      </c>
      <c r="AA13" s="39">
        <v>0</v>
      </c>
      <c r="AB13" s="39">
        <v>0</v>
      </c>
      <c r="AC13" s="39">
        <v>0</v>
      </c>
      <c r="AD13" s="39">
        <v>0</v>
      </c>
      <c r="AE13" s="39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</row>
    <row r="14" spans="1:38" x14ac:dyDescent="0.2">
      <c r="A14" s="16"/>
      <c r="B14" s="16"/>
      <c r="C14" s="16"/>
      <c r="D14" s="17"/>
      <c r="E14" s="16"/>
      <c r="F14" s="48"/>
      <c r="G14" s="16"/>
      <c r="H14" s="16"/>
      <c r="I14" s="16"/>
      <c r="J14" s="16"/>
      <c r="K14" s="52"/>
      <c r="L14" s="39"/>
      <c r="M14" s="39"/>
      <c r="N14" s="39"/>
      <c r="O14" s="39"/>
      <c r="P14" s="39"/>
      <c r="Q14" s="39"/>
      <c r="R14" s="17"/>
      <c r="S14" s="17"/>
      <c r="T14" s="17"/>
      <c r="U14" s="17"/>
      <c r="V14" s="17"/>
      <c r="W14" s="17"/>
      <c r="X14" s="17"/>
      <c r="Y14" s="39"/>
      <c r="Z14" s="39"/>
      <c r="AA14" s="39"/>
      <c r="AB14" s="39"/>
      <c r="AC14" s="39"/>
      <c r="AD14" s="39"/>
      <c r="AE14" s="39"/>
      <c r="AF14" s="17"/>
      <c r="AG14" s="17"/>
      <c r="AH14" s="17"/>
      <c r="AI14" s="17"/>
      <c r="AJ14" s="17"/>
      <c r="AK14" s="17"/>
      <c r="AL14" s="17"/>
    </row>
    <row r="15" spans="1:38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39"/>
      <c r="L15" s="39"/>
      <c r="M15" s="39"/>
      <c r="N15" s="39"/>
      <c r="O15" s="39"/>
      <c r="P15" s="39"/>
      <c r="Q15" s="39"/>
      <c r="R15" s="17"/>
      <c r="S15" s="17"/>
      <c r="T15" s="17"/>
      <c r="U15" s="17"/>
      <c r="V15" s="17"/>
      <c r="W15" s="17"/>
      <c r="X15" s="17"/>
      <c r="Y15" s="39"/>
      <c r="Z15" s="39"/>
      <c r="AA15" s="39"/>
      <c r="AB15" s="39"/>
      <c r="AC15" s="39"/>
      <c r="AD15" s="39"/>
      <c r="AE15" s="39"/>
      <c r="AF15" s="17"/>
      <c r="AG15" s="17"/>
      <c r="AH15" s="17"/>
      <c r="AI15" s="17"/>
      <c r="AJ15" s="17"/>
      <c r="AK15" s="17"/>
      <c r="AL15" s="17"/>
    </row>
    <row r="17" spans="1:15" x14ac:dyDescent="0.2">
      <c r="A17" s="112" t="s">
        <v>71</v>
      </c>
      <c r="B17" s="112"/>
      <c r="F17" s="53" t="s">
        <v>64</v>
      </c>
      <c r="G17" s="56"/>
      <c r="H17" s="53" t="s">
        <v>66</v>
      </c>
      <c r="I17" s="56"/>
    </row>
    <row r="18" spans="1:15" x14ac:dyDescent="0.2">
      <c r="E18" s="95" t="s">
        <v>38</v>
      </c>
      <c r="F18" s="76">
        <f>C5</f>
        <v>45505</v>
      </c>
      <c r="G18" s="78"/>
      <c r="H18" s="76">
        <f>C7</f>
        <v>401768</v>
      </c>
      <c r="I18" s="78"/>
      <c r="J18" s="56" t="s">
        <v>47</v>
      </c>
    </row>
    <row r="19" spans="1:15" x14ac:dyDescent="0.2">
      <c r="E19" s="96"/>
      <c r="F19" s="99" t="str">
        <f>INDEX($D$9:$D$13,$F$6)&amp;"+"</f>
        <v>AOW+</v>
      </c>
      <c r="G19" s="67"/>
      <c r="H19" s="99" t="str">
        <f>D7</f>
        <v>AOW bereikt</v>
      </c>
      <c r="I19" s="67"/>
      <c r="J19" s="60" t="s">
        <v>48</v>
      </c>
    </row>
    <row r="20" spans="1:15" ht="18" x14ac:dyDescent="0.25">
      <c r="A20" s="111" t="s">
        <v>52</v>
      </c>
      <c r="B20" s="53" t="s">
        <v>25</v>
      </c>
      <c r="C20" s="55" t="s">
        <v>30</v>
      </c>
      <c r="D20" s="56" t="str">
        <f t="shared" ref="D20:D26" si="3">$D$4&amp;"-"&amp;C20</f>
        <v>1-40</v>
      </c>
      <c r="E20" s="91">
        <f>MATCH(D20,$K$8:$AL$8,0)</f>
        <v>1</v>
      </c>
      <c r="F20" s="51">
        <f t="shared" ref="F20:F26" si="4">INDEX($K$9:$AL$13,$F$6,$E20)</f>
        <v>0</v>
      </c>
      <c r="G20" s="102" t="str">
        <f>IF(F24&gt;0,"x",IF(SUM(F21,F22,F25)&gt;0,"xx",""))</f>
        <v/>
      </c>
      <c r="H20" s="100">
        <f>INDEX($K$9:$AL$13,$F$7,$E20)</f>
        <v>0</v>
      </c>
      <c r="I20" s="102" t="str">
        <f>IF(H24&gt;0,"x",IF(SUM(H21,H22,H25)&gt;0,"xx",""))</f>
        <v/>
      </c>
      <c r="J20" s="159" t="s">
        <v>99</v>
      </c>
    </row>
    <row r="21" spans="1:15" x14ac:dyDescent="0.2">
      <c r="A21" s="111" t="s">
        <v>54</v>
      </c>
      <c r="B21" s="57" t="s">
        <v>26</v>
      </c>
      <c r="C21" t="s">
        <v>39</v>
      </c>
      <c r="D21" s="58" t="str">
        <f t="shared" si="3"/>
        <v>1-130xxa</v>
      </c>
      <c r="E21" s="92">
        <f t="shared" ref="E21:E26" si="5">MATCH(D21,$K$8:$AL$8,0)</f>
        <v>2</v>
      </c>
      <c r="F21" s="51">
        <f t="shared" si="4"/>
        <v>0</v>
      </c>
      <c r="G21" s="51"/>
      <c r="H21" s="101">
        <f t="shared" ref="H21:H26" si="6">INDEX($K$9:$AL$13,$F$7,$E21)</f>
        <v>0</v>
      </c>
      <c r="I21" s="65"/>
      <c r="J21" s="68"/>
    </row>
    <row r="22" spans="1:15" x14ac:dyDescent="0.2">
      <c r="A22" s="111" t="s">
        <v>54</v>
      </c>
      <c r="B22" s="57" t="s">
        <v>27</v>
      </c>
      <c r="C22" t="s">
        <v>40</v>
      </c>
      <c r="D22" s="58" t="str">
        <f t="shared" si="3"/>
        <v>1-130xxb</v>
      </c>
      <c r="E22" s="92">
        <f t="shared" si="5"/>
        <v>3</v>
      </c>
      <c r="F22" s="51">
        <f t="shared" si="4"/>
        <v>0</v>
      </c>
      <c r="G22" s="51"/>
      <c r="H22" s="101">
        <f t="shared" si="6"/>
        <v>0</v>
      </c>
      <c r="I22" s="65"/>
      <c r="J22" s="68"/>
    </row>
    <row r="23" spans="1:15" x14ac:dyDescent="0.2">
      <c r="A23" s="111" t="s">
        <v>55</v>
      </c>
      <c r="B23" s="57" t="s">
        <v>27</v>
      </c>
      <c r="C23" t="s">
        <v>31</v>
      </c>
      <c r="D23" s="58" t="str">
        <f t="shared" si="3"/>
        <v>1-170b</v>
      </c>
      <c r="E23" s="92">
        <f t="shared" si="5"/>
        <v>4</v>
      </c>
      <c r="F23" s="51">
        <f t="shared" si="4"/>
        <v>0</v>
      </c>
      <c r="G23" s="51"/>
      <c r="H23" s="101">
        <f t="shared" si="6"/>
        <v>0</v>
      </c>
      <c r="I23" s="65"/>
      <c r="J23" s="68"/>
    </row>
    <row r="24" spans="1:15" x14ac:dyDescent="0.2">
      <c r="A24" s="111" t="s">
        <v>53</v>
      </c>
      <c r="B24" s="57" t="s">
        <v>28</v>
      </c>
      <c r="C24" t="s">
        <v>41</v>
      </c>
      <c r="D24" s="58" t="str">
        <f t="shared" si="3"/>
        <v>1-130x</v>
      </c>
      <c r="E24" s="92">
        <f t="shared" si="5"/>
        <v>5</v>
      </c>
      <c r="F24" s="51">
        <f t="shared" si="4"/>
        <v>0</v>
      </c>
      <c r="G24" s="51"/>
      <c r="H24" s="101">
        <f t="shared" si="6"/>
        <v>0</v>
      </c>
      <c r="I24" s="65"/>
      <c r="J24" s="160" t="s">
        <v>24</v>
      </c>
    </row>
    <row r="25" spans="1:15" x14ac:dyDescent="0.2">
      <c r="A25" s="111" t="s">
        <v>53</v>
      </c>
      <c r="B25" s="57" t="s">
        <v>28</v>
      </c>
      <c r="C25" t="s">
        <v>42</v>
      </c>
      <c r="D25" s="58" t="str">
        <f t="shared" si="3"/>
        <v>1-130xx</v>
      </c>
      <c r="E25" s="92">
        <f t="shared" si="5"/>
        <v>6</v>
      </c>
      <c r="F25" s="51">
        <f t="shared" si="4"/>
        <v>0</v>
      </c>
      <c r="G25" s="51"/>
      <c r="H25" s="101">
        <f t="shared" si="6"/>
        <v>0</v>
      </c>
      <c r="I25" s="65"/>
      <c r="J25" s="160" t="s">
        <v>24</v>
      </c>
    </row>
    <row r="26" spans="1:15" x14ac:dyDescent="0.2">
      <c r="A26" s="111" t="s">
        <v>55</v>
      </c>
      <c r="B26" s="54" t="s">
        <v>29</v>
      </c>
      <c r="C26" s="59" t="s">
        <v>32</v>
      </c>
      <c r="D26" s="60" t="str">
        <f t="shared" si="3"/>
        <v>1-170</v>
      </c>
      <c r="E26" s="93">
        <f t="shared" si="5"/>
        <v>7</v>
      </c>
      <c r="F26" s="66">
        <f t="shared" si="4"/>
        <v>0</v>
      </c>
      <c r="G26" s="66"/>
      <c r="H26" s="99">
        <f t="shared" si="6"/>
        <v>0</v>
      </c>
      <c r="I26" s="67"/>
      <c r="J26" s="69"/>
    </row>
    <row r="27" spans="1:15" ht="6.75" customHeight="1" x14ac:dyDescent="0.2"/>
    <row r="28" spans="1:15" ht="15" x14ac:dyDescent="0.25">
      <c r="G28" s="103" t="s">
        <v>43</v>
      </c>
      <c r="H28" s="61" t="s">
        <v>45</v>
      </c>
      <c r="I28" s="61"/>
      <c r="J28" s="61"/>
      <c r="K28" s="61"/>
      <c r="L28" s="61"/>
      <c r="M28" s="61"/>
      <c r="N28" s="61"/>
      <c r="O28" s="62"/>
    </row>
    <row r="29" spans="1:15" ht="15" x14ac:dyDescent="0.25">
      <c r="G29" s="104" t="s">
        <v>44</v>
      </c>
      <c r="H29" s="63" t="s">
        <v>46</v>
      </c>
      <c r="I29" s="63"/>
      <c r="J29" s="63"/>
      <c r="K29" s="63"/>
      <c r="L29" s="63"/>
      <c r="M29" s="63"/>
      <c r="N29" s="63"/>
      <c r="O29" s="64"/>
    </row>
    <row r="33" spans="1:11" x14ac:dyDescent="0.2">
      <c r="A33" s="112" t="s">
        <v>63</v>
      </c>
      <c r="B33" s="112"/>
      <c r="C33" s="74">
        <v>1</v>
      </c>
      <c r="D33" s="75">
        <v>2</v>
      </c>
      <c r="E33" s="75">
        <v>3</v>
      </c>
      <c r="F33" s="83">
        <v>4</v>
      </c>
      <c r="H33" s="114" t="s">
        <v>73</v>
      </c>
      <c r="J33" s="84">
        <f>D4</f>
        <v>1</v>
      </c>
    </row>
    <row r="34" spans="1:11" x14ac:dyDescent="0.2">
      <c r="C34" s="76">
        <f>F9</f>
        <v>7672</v>
      </c>
      <c r="D34" s="77">
        <f>F10</f>
        <v>18994</v>
      </c>
      <c r="E34" s="77">
        <f>F11</f>
        <v>20455</v>
      </c>
      <c r="F34" s="78">
        <f>F12</f>
        <v>20821</v>
      </c>
      <c r="G34" s="77"/>
      <c r="H34" s="115" t="s">
        <v>74</v>
      </c>
      <c r="J34" s="85">
        <f>INDEX(C34:F34,1,$J$33)</f>
        <v>7672</v>
      </c>
    </row>
    <row r="35" spans="1:11" x14ac:dyDescent="0.2">
      <c r="C35" s="76">
        <f>F12</f>
        <v>20821</v>
      </c>
      <c r="D35" s="77">
        <f>F12</f>
        <v>20821</v>
      </c>
      <c r="E35" s="77">
        <f>F12</f>
        <v>20821</v>
      </c>
      <c r="F35" s="78">
        <f>F13</f>
        <v>23742</v>
      </c>
      <c r="G35" s="77"/>
      <c r="H35" s="115" t="s">
        <v>75</v>
      </c>
      <c r="J35" s="86">
        <f t="shared" ref="J35:J37" si="7">INDEX(C35:F35,1,$J$33)</f>
        <v>20821</v>
      </c>
    </row>
    <row r="36" spans="1:11" x14ac:dyDescent="0.2">
      <c r="C36" s="76">
        <f>F13</f>
        <v>23742</v>
      </c>
      <c r="D36" s="77">
        <f>F13</f>
        <v>23742</v>
      </c>
      <c r="E36" s="77">
        <f>F13</f>
        <v>23742</v>
      </c>
      <c r="F36" s="79">
        <v>401768</v>
      </c>
      <c r="G36" s="98"/>
      <c r="H36" s="115" t="s">
        <v>76</v>
      </c>
      <c r="J36" s="86">
        <f t="shared" si="7"/>
        <v>23742</v>
      </c>
    </row>
    <row r="37" spans="1:11" x14ac:dyDescent="0.2">
      <c r="C37" s="80">
        <v>401768</v>
      </c>
      <c r="D37" s="81">
        <v>401768</v>
      </c>
      <c r="E37" s="81">
        <v>401768</v>
      </c>
      <c r="F37" s="82">
        <v>401768</v>
      </c>
      <c r="G37" s="98"/>
      <c r="J37" s="87">
        <f t="shared" si="7"/>
        <v>401768</v>
      </c>
    </row>
    <row r="41" spans="1:11" x14ac:dyDescent="0.2">
      <c r="A41" s="113" t="s">
        <v>70</v>
      </c>
      <c r="B41" s="113"/>
      <c r="C41" s="21"/>
      <c r="D41" s="21"/>
      <c r="E41" s="21"/>
      <c r="F41" s="21"/>
      <c r="G41" s="21"/>
      <c r="H41" s="21"/>
      <c r="I41" s="21"/>
      <c r="J41" s="21"/>
      <c r="K41" s="21"/>
    </row>
    <row r="42" spans="1:11" ht="18" x14ac:dyDescent="0.25">
      <c r="A42" s="19"/>
      <c r="B42" s="20" t="s">
        <v>14</v>
      </c>
      <c r="C42" s="34">
        <f>DI!F14</f>
        <v>0</v>
      </c>
      <c r="D42" s="21"/>
      <c r="E42" s="19" t="s">
        <v>15</v>
      </c>
      <c r="F42" s="22" t="s">
        <v>16</v>
      </c>
      <c r="G42" s="23"/>
      <c r="H42" s="21"/>
      <c r="I42" t="s">
        <v>17</v>
      </c>
      <c r="J42" s="21"/>
    </row>
    <row r="43" spans="1:11" ht="18" x14ac:dyDescent="0.25">
      <c r="A43" s="24"/>
      <c r="B43" s="25" t="s">
        <v>18</v>
      </c>
      <c r="C43" s="26">
        <f>DATE(YEAR(C42)+VLOOKUP(C42,E44:G56,2,1),MONTH(C42)+VLOOKUP(C42,E44:G56,3,1),DAY(C42))</f>
        <v>23742</v>
      </c>
      <c r="D43" s="21"/>
      <c r="E43" s="27" t="s">
        <v>19</v>
      </c>
      <c r="F43" s="28" t="s">
        <v>20</v>
      </c>
      <c r="G43" s="29" t="s">
        <v>68</v>
      </c>
      <c r="H43" s="21"/>
      <c r="I43" s="21"/>
      <c r="J43" s="21"/>
    </row>
    <row r="44" spans="1:11" ht="18" x14ac:dyDescent="0.25">
      <c r="A44" s="27"/>
      <c r="B44" s="30" t="s">
        <v>21</v>
      </c>
      <c r="C44" s="31">
        <f>DATEDIF(C42,C43,"M")/12</f>
        <v>64.916666666666671</v>
      </c>
      <c r="D44" s="21"/>
      <c r="E44" s="19">
        <v>0</v>
      </c>
      <c r="F44" s="105">
        <v>65</v>
      </c>
      <c r="G44" s="106"/>
      <c r="H44" s="21"/>
      <c r="I44" s="21"/>
      <c r="J44" s="21"/>
    </row>
    <row r="45" spans="1:11" x14ac:dyDescent="0.2">
      <c r="A45" s="21"/>
      <c r="B45" s="21"/>
      <c r="C45" s="21"/>
      <c r="D45" s="21"/>
      <c r="E45" s="32">
        <v>17533</v>
      </c>
      <c r="F45" s="107">
        <v>65</v>
      </c>
      <c r="G45" s="108">
        <v>1</v>
      </c>
      <c r="H45" s="21"/>
      <c r="I45" s="21"/>
      <c r="J45" s="21"/>
    </row>
    <row r="46" spans="1:11" x14ac:dyDescent="0.2">
      <c r="A46" s="21"/>
      <c r="B46" s="21"/>
      <c r="C46" s="21"/>
      <c r="D46" s="21"/>
      <c r="E46" s="32">
        <v>17868</v>
      </c>
      <c r="F46" s="107">
        <v>65</v>
      </c>
      <c r="G46" s="108">
        <v>2</v>
      </c>
      <c r="H46" s="21"/>
      <c r="I46" s="21"/>
      <c r="J46" s="21"/>
    </row>
    <row r="47" spans="1:11" x14ac:dyDescent="0.2">
      <c r="A47" s="21"/>
      <c r="B47" s="21"/>
      <c r="C47" s="21"/>
      <c r="D47" s="21"/>
      <c r="E47" s="32">
        <v>18203</v>
      </c>
      <c r="F47" s="107">
        <v>65</v>
      </c>
      <c r="G47" s="108">
        <v>3</v>
      </c>
      <c r="H47" s="21"/>
      <c r="I47" s="21"/>
      <c r="J47" s="21"/>
    </row>
    <row r="48" spans="1:11" x14ac:dyDescent="0.2">
      <c r="A48" s="21"/>
      <c r="B48" s="21"/>
      <c r="C48" s="21"/>
      <c r="D48" s="21"/>
      <c r="E48" s="32">
        <v>18537</v>
      </c>
      <c r="F48" s="107">
        <v>65</v>
      </c>
      <c r="G48" s="108">
        <v>6</v>
      </c>
      <c r="H48" s="21"/>
      <c r="I48" s="21"/>
      <c r="J48" s="21"/>
    </row>
    <row r="49" spans="1:10" x14ac:dyDescent="0.2">
      <c r="A49" s="21"/>
      <c r="B49" s="21"/>
      <c r="C49" s="21"/>
      <c r="D49" s="21"/>
      <c r="E49" s="32">
        <v>18810</v>
      </c>
      <c r="F49" s="107">
        <v>65</v>
      </c>
      <c r="G49" s="108">
        <v>9</v>
      </c>
      <c r="H49" s="21"/>
      <c r="I49" s="21"/>
      <c r="J49" s="21"/>
    </row>
    <row r="50" spans="1:10" x14ac:dyDescent="0.2">
      <c r="A50" s="21"/>
      <c r="B50" s="21"/>
      <c r="C50" s="21"/>
      <c r="D50" s="21"/>
      <c r="E50" s="32">
        <v>19085</v>
      </c>
      <c r="F50" s="107">
        <v>66</v>
      </c>
      <c r="G50" s="108"/>
      <c r="H50" s="21"/>
      <c r="I50" s="21"/>
      <c r="J50" s="21"/>
    </row>
    <row r="51" spans="1:10" x14ac:dyDescent="0.2">
      <c r="A51" s="21"/>
      <c r="B51" s="21"/>
      <c r="C51" s="21"/>
      <c r="D51" s="21"/>
      <c r="E51" s="32">
        <v>19360</v>
      </c>
      <c r="F51" s="51">
        <v>66</v>
      </c>
      <c r="G51" s="65">
        <v>4</v>
      </c>
      <c r="I51" s="21"/>
      <c r="J51" s="21"/>
    </row>
    <row r="52" spans="1:10" x14ac:dyDescent="0.2">
      <c r="A52" s="21"/>
      <c r="B52" s="21"/>
      <c r="C52" s="21"/>
      <c r="D52" s="21"/>
      <c r="E52" s="32">
        <v>19603</v>
      </c>
      <c r="F52" s="51">
        <v>66</v>
      </c>
      <c r="G52" s="65">
        <v>4</v>
      </c>
      <c r="I52" s="21"/>
      <c r="J52" s="21"/>
    </row>
    <row r="53" spans="1:10" x14ac:dyDescent="0.2">
      <c r="A53" s="21"/>
      <c r="B53" s="21"/>
      <c r="C53" s="21"/>
      <c r="D53" s="21"/>
      <c r="E53" s="32">
        <v>19845</v>
      </c>
      <c r="F53" s="51">
        <v>66</v>
      </c>
      <c r="G53" s="65">
        <v>4</v>
      </c>
      <c r="I53" s="21"/>
      <c r="J53" s="21"/>
    </row>
    <row r="54" spans="1:10" x14ac:dyDescent="0.2">
      <c r="A54" s="21"/>
      <c r="B54" s="21"/>
      <c r="C54" s="21"/>
      <c r="D54" s="21"/>
      <c r="E54" s="32">
        <v>20090</v>
      </c>
      <c r="F54" s="51">
        <v>66</v>
      </c>
      <c r="G54" s="65">
        <v>4</v>
      </c>
      <c r="I54" s="21"/>
      <c r="J54" s="21"/>
    </row>
    <row r="55" spans="1:10" x14ac:dyDescent="0.2">
      <c r="A55" s="21"/>
      <c r="B55" s="21"/>
      <c r="C55" s="21"/>
      <c r="D55" s="21"/>
      <c r="E55" s="32">
        <v>20333</v>
      </c>
      <c r="F55" s="51">
        <v>66</v>
      </c>
      <c r="G55" s="65">
        <v>7</v>
      </c>
      <c r="I55" s="21"/>
      <c r="J55" s="21"/>
    </row>
    <row r="56" spans="1:10" x14ac:dyDescent="0.2">
      <c r="A56" s="21"/>
      <c r="B56" s="21"/>
      <c r="C56" s="21"/>
      <c r="D56" s="21"/>
      <c r="E56" s="32">
        <v>20607</v>
      </c>
      <c r="F56" s="51">
        <v>66</v>
      </c>
      <c r="G56" s="65">
        <v>10</v>
      </c>
      <c r="I56" s="21"/>
      <c r="J56" s="21"/>
    </row>
    <row r="57" spans="1:10" x14ac:dyDescent="0.2">
      <c r="A57" s="21"/>
      <c r="B57" s="21"/>
      <c r="C57" s="21"/>
      <c r="D57" s="21"/>
      <c r="E57" s="32">
        <v>20880</v>
      </c>
      <c r="F57" s="51">
        <v>67</v>
      </c>
      <c r="G57" s="65">
        <v>0</v>
      </c>
      <c r="I57" s="21"/>
      <c r="J57" s="21"/>
    </row>
    <row r="58" spans="1:10" x14ac:dyDescent="0.2">
      <c r="A58" s="21"/>
      <c r="B58" s="21"/>
      <c r="C58" s="21"/>
      <c r="D58" s="21"/>
      <c r="E58" s="32">
        <v>21186</v>
      </c>
      <c r="F58" s="51">
        <v>67</v>
      </c>
      <c r="G58" s="65">
        <v>0</v>
      </c>
      <c r="H58" t="s">
        <v>106</v>
      </c>
      <c r="I58" s="21"/>
      <c r="J58" s="21"/>
    </row>
    <row r="59" spans="1:10" x14ac:dyDescent="0.2">
      <c r="A59" s="21"/>
      <c r="B59" s="21"/>
      <c r="C59" s="21"/>
      <c r="D59" s="21"/>
      <c r="E59" s="33">
        <v>401768</v>
      </c>
      <c r="F59" s="66">
        <v>0</v>
      </c>
      <c r="G59" s="67">
        <v>0</v>
      </c>
      <c r="I59" s="21"/>
      <c r="J59" s="21"/>
    </row>
    <row r="60" spans="1:10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</row>
  </sheetData>
  <sheetProtection algorithmName="SHA-512" hashValue="8xIHTjs2jiM8xHskBkd8nVnP3rqjOCwukdgXPeqQAkvzVpv1HlC5FT0KivRqf3LVrio3RtPOdHLWnZ2VTct8mg==" saltValue="cgk4Q2G06KG/kcQ3PAA9cw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F1EF51637F844DBEEC7FC897D24CFB" ma:contentTypeVersion="13" ma:contentTypeDescription="Een nieuw document maken." ma:contentTypeScope="" ma:versionID="54563fdb5e24153a7b0d1383d63cb7bd">
  <xsd:schema xmlns:xsd="http://www.w3.org/2001/XMLSchema" xmlns:xs="http://www.w3.org/2001/XMLSchema" xmlns:p="http://schemas.microsoft.com/office/2006/metadata/properties" xmlns:ns2="46ee50b7-088a-44a1-b837-2a0299a9308e" xmlns:ns3="7895a175-6f19-4ceb-a4a1-920846e77b57" targetNamespace="http://schemas.microsoft.com/office/2006/metadata/properties" ma:root="true" ma:fieldsID="225c453156766de6a74e0ab6db412769" ns2:_="" ns3:_="">
    <xsd:import namespace="46ee50b7-088a-44a1-b837-2a0299a9308e"/>
    <xsd:import namespace="7895a175-6f19-4ceb-a4a1-920846e77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e50b7-088a-44a1-b837-2a0299a93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854528c1-d428-40d4-b2ff-ac9bb6e28b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5a175-6f19-4ceb-a4a1-920846e77b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c6ba9b6-9d37-4fd7-b43c-3fb9d74856f1}" ma:internalName="TaxCatchAll" ma:showField="CatchAllData" ma:web="7895a175-6f19-4ceb-a4a1-920846e77b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40B37D-1F4A-499E-A260-C2BB1254A2B9}"/>
</file>

<file path=customXml/itemProps2.xml><?xml version="1.0" encoding="utf-8"?>
<ds:datastoreItem xmlns:ds="http://schemas.openxmlformats.org/officeDocument/2006/customXml" ds:itemID="{FCBA0DF9-468A-41AA-ACD9-CDA302B40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DI</vt:lpstr>
      <vt:lpstr>DI-tabellen</vt:lpstr>
      <vt:lpstr>DI!Afdrukbereik</vt:lpstr>
    </vt:vector>
  </TitlesOfParts>
  <Company>Van Oers A+B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RBanus</dc:creator>
  <cp:lastModifiedBy>Eline Dekker</cp:lastModifiedBy>
  <cp:lastPrinted>2017-10-04T14:56:11Z</cp:lastPrinted>
  <dcterms:created xsi:type="dcterms:W3CDTF">2017-05-08T07:59:11Z</dcterms:created>
  <dcterms:modified xsi:type="dcterms:W3CDTF">2024-07-22T14:02:58Z</dcterms:modified>
</cp:coreProperties>
</file>